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autoCompressPictures="0" defaultThemeVersion="124226"/>
  <mc:AlternateContent xmlns:mc="http://schemas.openxmlformats.org/markup-compatibility/2006">
    <mc:Choice Requires="x15">
      <x15ac:absPath xmlns:x15ac="http://schemas.microsoft.com/office/spreadsheetml/2010/11/ac" url="P:\merkaz\azrieli\planning_corp\נפתלי שטרנליכט\IR\Materials\2018\Q1 2018\Metrics\Metrics -Q1 2018- without formulas\"/>
    </mc:Choice>
  </mc:AlternateContent>
  <bookViews>
    <workbookView xWindow="0" yWindow="0" windowWidth="12240" windowHeight="9240" tabRatio="595"/>
  </bookViews>
  <sheets>
    <sheet name="Index" sheetId="1" r:id="rId1"/>
    <sheet name="I - Financials" sheetId="2" r:id="rId2"/>
    <sheet name="II- Other income-exp" sheetId="7" r:id="rId3"/>
    <sheet name="III - KPIs" sheetId="3" r:id="rId4"/>
    <sheet name="IV - Dividends" sheetId="6" r:id="rId5"/>
    <sheet name="V - Glossary " sheetId="4" r:id="rId6"/>
  </sheets>
  <definedNames>
    <definedName name="_ftn1" localSheetId="3">'III - KPIs'!$AP$87</definedName>
    <definedName name="_ftn2" localSheetId="3">'III - KPIs'!$AP$88</definedName>
    <definedName name="_ftnref1" localSheetId="3">'III - KPIs'!$AP$81</definedName>
    <definedName name="_ftnref2" localSheetId="3">'III - KPIs'!$AP$82</definedName>
    <definedName name="ProjectName">{"Client Name or Project Name"}</definedName>
    <definedName name="_xlnm.Print_Area" localSheetId="1">'I - Financials'!$A$1:$BA$489</definedName>
    <definedName name="_xlnm.Print_Area" localSheetId="2">'II- Other income-exp'!$A$4:$X$34</definedName>
    <definedName name="_xlnm.Print_Area" localSheetId="3">'III - KPIs'!$A$1:$BA$126</definedName>
    <definedName name="_xlnm.Print_Area" localSheetId="0">Index!$A$1:$K$32</definedName>
    <definedName name="_xlnm.Print_Area" localSheetId="4">'IV - Dividends'!$A$1:$D$41</definedName>
    <definedName name="_xlnm.Print_Area" localSheetId="5">'V - Glossary '!$A$1:$L$19</definedName>
    <definedName name="_xlnm.Print_Titles" localSheetId="1">'I - Financials'!$1:$5</definedName>
    <definedName name="_xlnm.Print_Titles" localSheetId="3">'III - KPIs'!$1:$4</definedName>
    <definedName name="_xlnm.Print_Titles" localSheetId="4">'IV - Dividends'!$1:$9</definedName>
    <definedName name="Z_44BC518B_F505_4956_BE42_792973965029_.wvu.PrintArea" localSheetId="1" hidden="1">'I - Financials'!$A$1:$R$490</definedName>
    <definedName name="Z_44BC518B_F505_4956_BE42_792973965029_.wvu.PrintArea" localSheetId="3" hidden="1">'III - KPIs'!$A$1:$R$124</definedName>
    <definedName name="Z_44BC518B_F505_4956_BE42_792973965029_.wvu.PrintArea" localSheetId="0" hidden="1">Index!$A$1:$K$32</definedName>
    <definedName name="Z_44BC518B_F505_4956_BE42_792973965029_.wvu.PrintArea" localSheetId="5" hidden="1">'V - Glossary '!$A$1:$M$20</definedName>
    <definedName name="Z_44BC518B_F505_4956_BE42_792973965029_.wvu.PrintTitles" localSheetId="1" hidden="1">'I - Financials'!$1:$5</definedName>
    <definedName name="Z_44BC518B_F505_4956_BE42_792973965029_.wvu.PrintTitles" localSheetId="3" hidden="1">'III - KPIs'!$1:$4</definedName>
    <definedName name="Z_67DDFA58_7FF7_4BDB_BFFF_31DB4021D095_.wvu.Cols" localSheetId="1" hidden="1">'I - Financials'!$C:$F,'I - Financials'!$H:$K,'I - Financials'!$M:$P</definedName>
    <definedName name="Z_67DDFA58_7FF7_4BDB_BFFF_31DB4021D095_.wvu.Cols" localSheetId="3" hidden="1">'III - KPIs'!$B:$F,'III - KPIs'!$H:$K,'III - KPIs'!$M:$P</definedName>
    <definedName name="Z_67DDFA58_7FF7_4BDB_BFFF_31DB4021D095_.wvu.PrintArea" localSheetId="1" hidden="1">'I - Financials'!$A$1:$AD$490</definedName>
    <definedName name="Z_67DDFA58_7FF7_4BDB_BFFF_31DB4021D095_.wvu.PrintArea" localSheetId="3" hidden="1">'III - KPIs'!$A$1:$AD$124</definedName>
    <definedName name="Z_67DDFA58_7FF7_4BDB_BFFF_31DB4021D095_.wvu.PrintArea" localSheetId="0" hidden="1">Index!$A$1:$K$32</definedName>
    <definedName name="Z_67DDFA58_7FF7_4BDB_BFFF_31DB4021D095_.wvu.PrintArea" localSheetId="5" hidden="1">'V - Glossary '!$A$1:$M$20</definedName>
    <definedName name="Z_67DDFA58_7FF7_4BDB_BFFF_31DB4021D095_.wvu.PrintTitles" localSheetId="1" hidden="1">'I - Financials'!$1:$5</definedName>
    <definedName name="Z_67DDFA58_7FF7_4BDB_BFFF_31DB4021D095_.wvu.PrintTitles" localSheetId="3" hidden="1">'III - KPIs'!$1:$4</definedName>
    <definedName name="Z_67DDFA58_7FF7_4BDB_BFFF_31DB4021D095_.wvu.PrintTitles" localSheetId="4" hidden="1">'IV - Dividends'!$1:$9</definedName>
    <definedName name="Z_6A44E415_E6EC_4CA2_8B4C_A374F00F0261_.wvu.PrintArea" localSheetId="1" hidden="1">'I - Financials'!$A$1:$J$490</definedName>
    <definedName name="Z_6A44E415_E6EC_4CA2_8B4C_A374F00F0261_.wvu.PrintArea" localSheetId="3" hidden="1">'III - KPIs'!$A$1:$I$124</definedName>
    <definedName name="Z_6A44E415_E6EC_4CA2_8B4C_A374F00F0261_.wvu.PrintArea" localSheetId="0" hidden="1">Index!$A$1:$K$32</definedName>
    <definedName name="Z_6A44E415_E6EC_4CA2_8B4C_A374F00F0261_.wvu.PrintArea" localSheetId="5" hidden="1">'V - Glossary '!$A$1:$M$19</definedName>
    <definedName name="Z_6A44E415_E6EC_4CA2_8B4C_A374F00F0261_.wvu.PrintTitles" localSheetId="1" hidden="1">'I - Financials'!$1:$5</definedName>
    <definedName name="Z_6A44E415_E6EC_4CA2_8B4C_A374F00F0261_.wvu.PrintTitles" localSheetId="3" hidden="1">'III - KPIs'!$1:$4</definedName>
    <definedName name="Z_7DC6D345_C4C0_4162_8636_D495A245EBF8_.wvu.Cols" localSheetId="1" hidden="1">'I - Financials'!$C:$F,'I - Financials'!$H:$K,'I - Financials'!$M:$P</definedName>
    <definedName name="Z_7DC6D345_C4C0_4162_8636_D495A245EBF8_.wvu.Cols" localSheetId="3" hidden="1">'III - KPIs'!$B:$F,'III - KPIs'!$H:$K,'III - KPIs'!$M:$P</definedName>
    <definedName name="Z_7DC6D345_C4C0_4162_8636_D495A245EBF8_.wvu.PrintArea" localSheetId="1" hidden="1">'I - Financials'!$A$1:$AD$490</definedName>
    <definedName name="Z_7DC6D345_C4C0_4162_8636_D495A245EBF8_.wvu.PrintArea" localSheetId="3" hidden="1">'III - KPIs'!$A$1:$AD$124</definedName>
    <definedName name="Z_7DC6D345_C4C0_4162_8636_D495A245EBF8_.wvu.PrintArea" localSheetId="0" hidden="1">Index!$A$1:$K$32</definedName>
    <definedName name="Z_7DC6D345_C4C0_4162_8636_D495A245EBF8_.wvu.PrintArea" localSheetId="5" hidden="1">'V - Glossary '!$A$1:$M$20</definedName>
    <definedName name="Z_7DC6D345_C4C0_4162_8636_D495A245EBF8_.wvu.PrintTitles" localSheetId="1" hidden="1">'I - Financials'!$1:$5</definedName>
    <definedName name="Z_7DC6D345_C4C0_4162_8636_D495A245EBF8_.wvu.PrintTitles" localSheetId="3" hidden="1">'III - KPIs'!$1:$4</definedName>
    <definedName name="Z_C32ED439_2914_4073_BFBF_7718D6CFE811_.wvu.PrintArea" localSheetId="1" hidden="1">'I - Financials'!$A$1:$R$490</definedName>
    <definedName name="Z_C32ED439_2914_4073_BFBF_7718D6CFE811_.wvu.PrintArea" localSheetId="3" hidden="1">'III - KPIs'!$A$1:$R$124</definedName>
    <definedName name="Z_C32ED439_2914_4073_BFBF_7718D6CFE811_.wvu.PrintArea" localSheetId="0" hidden="1">Index!$A$1:$K$32</definedName>
    <definedName name="Z_C32ED439_2914_4073_BFBF_7718D6CFE811_.wvu.PrintArea" localSheetId="5" hidden="1">'V - Glossary '!$A$1:$M$20</definedName>
    <definedName name="Z_C32ED439_2914_4073_BFBF_7718D6CFE811_.wvu.PrintTitles" localSheetId="1" hidden="1">'I - Financials'!$1:$5</definedName>
    <definedName name="Z_C32ED439_2914_4073_BFBF_7718D6CFE811_.wvu.PrintTitles" localSheetId="3" hidden="1">'III - KPIs'!$1:$4</definedName>
    <definedName name="Z_C6BBAF30_1E81_42FB_BA93_01B6813E2C8C_.wvu.PrintArea" localSheetId="1" hidden="1">'I - Financials'!$A$1:$O$490</definedName>
    <definedName name="Z_C6BBAF30_1E81_42FB_BA93_01B6813E2C8C_.wvu.PrintArea" localSheetId="3" hidden="1">'III - KPIs'!$A$1:$O$124</definedName>
    <definedName name="Z_C6BBAF30_1E81_42FB_BA93_01B6813E2C8C_.wvu.PrintArea" localSheetId="0" hidden="1">Index!$A$1:$K$32</definedName>
    <definedName name="Z_C6BBAF30_1E81_42FB_BA93_01B6813E2C8C_.wvu.PrintArea" localSheetId="5" hidden="1">'V - Glossary '!$A$1:$M$19</definedName>
    <definedName name="Z_C6BBAF30_1E81_42FB_BA93_01B6813E2C8C_.wvu.PrintTitles" localSheetId="1" hidden="1">'I - Financials'!$1:$5</definedName>
    <definedName name="Z_C6BBAF30_1E81_42FB_BA93_01B6813E2C8C_.wvu.PrintTitles" localSheetId="3" hidden="1">'III - KPIs'!$1:$4</definedName>
    <definedName name="Z_F07085DA_2B2D_4BE1_891D_F25D604A092E_.wvu.PrintArea" localSheetId="1" hidden="1">'I - Financials'!$A$1:$M$490</definedName>
    <definedName name="Z_F07085DA_2B2D_4BE1_891D_F25D604A092E_.wvu.PrintArea" localSheetId="3" hidden="1">'III - KPIs'!$A$1:$M$124</definedName>
    <definedName name="Z_F07085DA_2B2D_4BE1_891D_F25D604A092E_.wvu.PrintArea" localSheetId="0" hidden="1">Index!$A$1:$K$32</definedName>
    <definedName name="Z_F07085DA_2B2D_4BE1_891D_F25D604A092E_.wvu.PrintArea" localSheetId="5" hidden="1">'V - Glossary '!$A$1:$M$19</definedName>
    <definedName name="Z_F07085DA_2B2D_4BE1_891D_F25D604A092E_.wvu.PrintTitles" localSheetId="1" hidden="1">'I - Financials'!$1:$5</definedName>
    <definedName name="Z_F07085DA_2B2D_4BE1_891D_F25D604A092E_.wvu.PrintTitles" localSheetId="3" hidden="1">'III - KPIs'!$1:$4</definedName>
  </definedNames>
  <calcPr calcId="162913"/>
  <customWorkbookViews>
    <customWorkbookView name="Administrator - Personal View" guid="{C6BBAF30-1E81-42FB-BA93-01B6813E2C8C}" mergeInterval="0" personalView="1" maximized="1" windowWidth="1020" windowHeight="569" tabRatio="597" activeSheetId="1"/>
    <customWorkbookView name="Administrator - תצוגה אישית" guid="{F07085DA-2B2D-4BE1-891D-F25D604A092E}" mergeInterval="0" personalView="1" maximized="1" windowWidth="796" windowHeight="371" activeSheetId="2"/>
    <customWorkbookView name="30703826 - תצוגה אישית" guid="{6A44E415-E6EC-4CA2-8B4C-A374F00F0261}" mergeInterval="0" personalView="1" maximized="1" windowWidth="1276" windowHeight="661" activeSheetId="2"/>
    <customWorkbookView name="Erik Knettel - Personal View" guid="{C32ED439-2914-4073-BFBF-7718D6CFE811}" mergeInterval="0" personalView="1" maximized="1" xWindow="1" yWindow="1" windowWidth="1276" windowHeight="559" activeSheetId="4"/>
    <customWorkbookView name="30210485 - תצוגה אישית" guid="{44BC518B-F505-4956-BE42-792973965029}" mergeInterval="0" personalView="1" maximized="1" xWindow="1" yWindow="1" windowWidth="1024" windowHeight="548" activeSheetId="2"/>
    <customWorkbookView name="נפתלי שטרנליכט - חטיבת כספים - Naftali Shternlicht - תצוגה אישית" guid="{7DC6D345-C4C0-4162-8636-D495A245EBF8}" mergeInterval="0" personalView="1" maximized="1" windowWidth="1280" windowHeight="743" tabRatio="675" activeSheetId="2"/>
    <customWorkbookView name="eknettel - Personal View" guid="{67DDFA58-7FF7-4BDB-BFFF-31DB4021D095}" mergeInterval="0" personalView="1" maximized="1" xWindow="1" yWindow="1" windowWidth="1362" windowHeight="538" tabRatio="675" activeSheetId="6"/>
  </customWorkbookViews>
  <extLst>
    <ext xmlns:mx="http://schemas.microsoft.com/office/mac/excel/2008/main" uri="{7523E5D3-25F3-A5E0-1632-64F254C22452}">
      <mx:ArchID Flags="2"/>
    </ext>
  </extLst>
</workbook>
</file>

<file path=xl/calcChain.xml><?xml version="1.0" encoding="utf-8"?>
<calcChain xmlns="http://schemas.openxmlformats.org/spreadsheetml/2006/main">
  <c r="X32" i="7" l="1"/>
  <c r="W32" i="7" l="1"/>
  <c r="V24" i="7" l="1"/>
  <c r="B123" i="2" l="1"/>
  <c r="C123" i="2"/>
  <c r="D123" i="2"/>
  <c r="E123" i="2"/>
  <c r="F123" i="2"/>
  <c r="G123" i="2"/>
  <c r="H123" i="2"/>
  <c r="I123" i="2"/>
  <c r="J123" i="2"/>
  <c r="L123" i="2"/>
  <c r="M123" i="2"/>
  <c r="N123" i="2"/>
  <c r="O123" i="2"/>
  <c r="Q123" i="2"/>
  <c r="R123" i="2"/>
  <c r="S123" i="2"/>
  <c r="T123" i="2"/>
  <c r="V123" i="2"/>
  <c r="W123" i="2"/>
  <c r="X123" i="2"/>
  <c r="Y123" i="2"/>
  <c r="AA123" i="2"/>
  <c r="AB123" i="2"/>
  <c r="AC123" i="2"/>
  <c r="AD123" i="2"/>
  <c r="AF123" i="2"/>
  <c r="AG123" i="2"/>
  <c r="AH123" i="2"/>
  <c r="AI123" i="2"/>
  <c r="B124" i="2"/>
  <c r="C124" i="2"/>
  <c r="D124" i="2"/>
  <c r="E124" i="2"/>
  <c r="F124" i="2"/>
  <c r="G124" i="2"/>
  <c r="H124" i="2"/>
  <c r="I124" i="2"/>
  <c r="J124" i="2"/>
  <c r="L124" i="2"/>
  <c r="M124" i="2"/>
  <c r="N124" i="2"/>
  <c r="O124" i="2"/>
  <c r="Q124" i="2"/>
  <c r="R124" i="2"/>
  <c r="S124" i="2"/>
  <c r="T124" i="2"/>
  <c r="V124" i="2"/>
  <c r="W124" i="2"/>
  <c r="X124" i="2"/>
  <c r="Y124" i="2"/>
  <c r="AA124" i="2"/>
  <c r="AB124" i="2"/>
  <c r="AC124" i="2"/>
  <c r="AD124" i="2"/>
  <c r="AF124" i="2"/>
  <c r="AG124" i="2"/>
  <c r="AH124" i="2"/>
  <c r="AI124" i="2"/>
  <c r="AI93" i="2"/>
  <c r="AH93" i="2"/>
  <c r="AG93" i="2"/>
  <c r="AF93" i="2"/>
  <c r="AD93" i="2"/>
  <c r="AC93" i="2"/>
  <c r="AB93" i="2"/>
  <c r="AA93" i="2"/>
  <c r="Y93" i="2"/>
  <c r="X93" i="2"/>
  <c r="W93" i="2"/>
  <c r="V93" i="2"/>
  <c r="T93" i="2"/>
  <c r="S93" i="2"/>
  <c r="R93" i="2"/>
  <c r="Q93" i="2"/>
  <c r="O93" i="2"/>
  <c r="N93" i="2"/>
  <c r="M93" i="2"/>
  <c r="L93" i="2"/>
  <c r="J93" i="2"/>
  <c r="I93" i="2"/>
  <c r="H93" i="2"/>
  <c r="G93" i="2"/>
  <c r="AI92" i="2"/>
  <c r="AH92" i="2"/>
  <c r="AD92" i="2"/>
  <c r="AC92" i="2"/>
  <c r="Y92" i="2"/>
  <c r="X92" i="2"/>
  <c r="T92" i="2"/>
  <c r="S92" i="2"/>
  <c r="O92" i="2"/>
  <c r="N92" i="2"/>
  <c r="J92" i="2"/>
  <c r="I92" i="2"/>
  <c r="E92" i="2"/>
  <c r="D92" i="2"/>
  <c r="AJ91" i="2"/>
  <c r="AE91" i="2"/>
  <c r="AE92" i="2" s="1"/>
  <c r="Z91" i="2"/>
  <c r="AB92" i="2" s="1"/>
  <c r="U91" i="2"/>
  <c r="W92" i="2" s="1"/>
  <c r="P91" i="2"/>
  <c r="K91" i="2"/>
  <c r="K92" i="2" s="1"/>
  <c r="F91" i="2"/>
  <c r="H92" i="2" s="1"/>
  <c r="AJ49" i="2"/>
  <c r="AF49" i="2"/>
  <c r="AE49" i="2" s="1"/>
  <c r="AA49" i="2"/>
  <c r="Z49" i="2" s="1"/>
  <c r="V49" i="2"/>
  <c r="U49" i="2" s="1"/>
  <c r="Q49" i="2"/>
  <c r="L49" i="2"/>
  <c r="AF75" i="2"/>
  <c r="AD75" i="2"/>
  <c r="AC75" i="2"/>
  <c r="AB75" i="2"/>
  <c r="AA75" i="2"/>
  <c r="Y75" i="2"/>
  <c r="X75" i="2"/>
  <c r="W75" i="2"/>
  <c r="V75" i="2"/>
  <c r="Q75" i="2"/>
  <c r="AD74" i="2"/>
  <c r="AC74" i="2"/>
  <c r="Y74" i="2"/>
  <c r="X74" i="2"/>
  <c r="T74" i="2"/>
  <c r="S74" i="2"/>
  <c r="AE73" i="2"/>
  <c r="Z73" i="2"/>
  <c r="U73" i="2"/>
  <c r="W74" i="2" s="1"/>
  <c r="AE75" i="2" l="1"/>
  <c r="P93" i="2"/>
  <c r="AJ93" i="2"/>
  <c r="Z92" i="2"/>
  <c r="Z75" i="2"/>
  <c r="U92" i="2"/>
  <c r="U93" i="2"/>
  <c r="F92" i="2"/>
  <c r="Z93" i="2"/>
  <c r="AE74" i="2"/>
  <c r="M92" i="2"/>
  <c r="R92" i="2"/>
  <c r="AG92" i="2"/>
  <c r="K93" i="2"/>
  <c r="AE93" i="2"/>
  <c r="P92" i="2"/>
  <c r="AJ92" i="2"/>
  <c r="U74" i="2"/>
  <c r="Z74" i="2"/>
  <c r="AB74" i="2"/>
  <c r="V30" i="7" l="1"/>
  <c r="V18" i="7"/>
  <c r="V32" i="7" s="1"/>
  <c r="AF452" i="2" l="1"/>
  <c r="G452" i="2"/>
  <c r="AJ452" i="2"/>
  <c r="AI452" i="2"/>
  <c r="AH452" i="2"/>
  <c r="AG452" i="2"/>
  <c r="AD452" i="2"/>
  <c r="AC452" i="2"/>
  <c r="AB452" i="2"/>
  <c r="AA452" i="2"/>
  <c r="Z452" i="2"/>
  <c r="Y452" i="2"/>
  <c r="X452" i="2"/>
  <c r="W452" i="2"/>
  <c r="V452" i="2"/>
  <c r="U452" i="2"/>
  <c r="T452" i="2"/>
  <c r="S452" i="2"/>
  <c r="R452" i="2"/>
  <c r="Q452" i="2"/>
  <c r="P452" i="2"/>
  <c r="O452" i="2"/>
  <c r="N452" i="2"/>
  <c r="M452" i="2"/>
  <c r="L452" i="2"/>
  <c r="AJ451" i="2"/>
  <c r="AI451" i="2"/>
  <c r="AH451" i="2"/>
  <c r="AG451" i="2"/>
  <c r="AD451" i="2"/>
  <c r="AC451" i="2"/>
  <c r="AB451" i="2"/>
  <c r="Z451" i="2"/>
  <c r="Y451" i="2"/>
  <c r="X451" i="2"/>
  <c r="W451" i="2"/>
  <c r="U451" i="2"/>
  <c r="T451" i="2"/>
  <c r="S451" i="2"/>
  <c r="R451" i="2"/>
  <c r="P451" i="2"/>
  <c r="O451" i="2"/>
  <c r="N451" i="2"/>
  <c r="M451" i="2"/>
  <c r="AF216" i="2"/>
  <c r="AA216" i="2"/>
  <c r="V216" i="2"/>
  <c r="Q216" i="2"/>
  <c r="L216" i="2"/>
  <c r="G216" i="2"/>
  <c r="U32" i="7" l="1"/>
  <c r="T32" i="7" l="1"/>
  <c r="S32" i="7" l="1"/>
  <c r="Q24" i="7"/>
  <c r="Q18" i="7"/>
  <c r="Q32" i="7" s="1"/>
  <c r="AJ471" i="2"/>
  <c r="AJ426" i="2"/>
  <c r="AI488" i="2"/>
  <c r="AH488" i="2"/>
  <c r="AG488" i="2"/>
  <c r="AF471" i="2"/>
  <c r="AD471" i="2"/>
  <c r="AD474" i="2" s="1"/>
  <c r="AC471" i="2"/>
  <c r="AC488" i="2" s="1"/>
  <c r="AB471" i="2"/>
  <c r="AB488" i="2" s="1"/>
  <c r="AE426" i="2"/>
  <c r="AG427" i="2" s="1"/>
  <c r="AA471" i="2"/>
  <c r="Y471" i="2"/>
  <c r="Y474" i="2" s="1"/>
  <c r="Y479" i="2" s="1"/>
  <c r="X471" i="2"/>
  <c r="W471" i="2"/>
  <c r="W488" i="2" s="1"/>
  <c r="Z426" i="2"/>
  <c r="AB427" i="2" s="1"/>
  <c r="Y488" i="2"/>
  <c r="V471" i="2"/>
  <c r="U426" i="2"/>
  <c r="U488" i="2" s="1"/>
  <c r="T471" i="2"/>
  <c r="T488" i="2" s="1"/>
  <c r="S471" i="2"/>
  <c r="S488" i="2" s="1"/>
  <c r="R471" i="2"/>
  <c r="Q471" i="2"/>
  <c r="Q488" i="2" s="1"/>
  <c r="O471" i="2"/>
  <c r="O474" i="2" s="1"/>
  <c r="O479" i="2" s="1"/>
  <c r="N471" i="2"/>
  <c r="N473" i="2" s="1"/>
  <c r="M471" i="2"/>
  <c r="M488" i="2" s="1"/>
  <c r="P426" i="2"/>
  <c r="R427" i="2" s="1"/>
  <c r="L471" i="2"/>
  <c r="L488" i="2" s="1"/>
  <c r="J471" i="2"/>
  <c r="J488" i="2" s="1"/>
  <c r="H471" i="2"/>
  <c r="H88" i="2" s="1"/>
  <c r="H126" i="2" s="1"/>
  <c r="K426" i="2"/>
  <c r="I488" i="2"/>
  <c r="G471" i="2"/>
  <c r="G474" i="2" s="1"/>
  <c r="G479" i="2" s="1"/>
  <c r="E471" i="2"/>
  <c r="E488" i="2" s="1"/>
  <c r="D471" i="2"/>
  <c r="I473" i="2" s="1"/>
  <c r="F426" i="2"/>
  <c r="H427" i="2" s="1"/>
  <c r="C488" i="2"/>
  <c r="B471" i="2"/>
  <c r="B488" i="2" s="1"/>
  <c r="AI405" i="2"/>
  <c r="AH405" i="2"/>
  <c r="AH421" i="2" s="1"/>
  <c r="AG405" i="2"/>
  <c r="AG421" i="2" s="1"/>
  <c r="AJ354" i="2"/>
  <c r="AF405" i="2"/>
  <c r="AD405" i="2"/>
  <c r="AD408" i="2" s="1"/>
  <c r="AI410" i="2" s="1"/>
  <c r="AC405" i="2"/>
  <c r="AC408" i="2" s="1"/>
  <c r="AB405" i="2"/>
  <c r="AB421" i="2" s="1"/>
  <c r="AE354" i="2"/>
  <c r="AA405" i="2"/>
  <c r="AA421" i="2" s="1"/>
  <c r="Y405" i="2"/>
  <c r="Y408" i="2" s="1"/>
  <c r="X405" i="2"/>
  <c r="W405" i="2"/>
  <c r="W421" i="2" s="1"/>
  <c r="Z354" i="2"/>
  <c r="AB355" i="2" s="1"/>
  <c r="V405" i="2"/>
  <c r="T405" i="2"/>
  <c r="T421" i="2" s="1"/>
  <c r="S405" i="2"/>
  <c r="S421" i="2" s="1"/>
  <c r="R405" i="2"/>
  <c r="R421" i="2" s="1"/>
  <c r="U354" i="2"/>
  <c r="Q405" i="2"/>
  <c r="Q421" i="2" s="1"/>
  <c r="O405" i="2"/>
  <c r="O421" i="2" s="1"/>
  <c r="N405" i="2"/>
  <c r="N421" i="2" s="1"/>
  <c r="M405" i="2"/>
  <c r="M408" i="2" s="1"/>
  <c r="P354" i="2"/>
  <c r="R355" i="2" s="1"/>
  <c r="L405" i="2"/>
  <c r="L421" i="2" s="1"/>
  <c r="J405" i="2"/>
  <c r="J421" i="2" s="1"/>
  <c r="I405" i="2"/>
  <c r="H405" i="2"/>
  <c r="H421" i="2" s="1"/>
  <c r="K354" i="2"/>
  <c r="K355" i="2" s="1"/>
  <c r="G405" i="2"/>
  <c r="E405" i="2"/>
  <c r="D405" i="2"/>
  <c r="D421" i="2" s="1"/>
  <c r="C405" i="2"/>
  <c r="C421" i="2" s="1"/>
  <c r="F354" i="2"/>
  <c r="E421" i="2"/>
  <c r="B405" i="2"/>
  <c r="B421" i="2" s="1"/>
  <c r="AI334" i="2"/>
  <c r="AI336" i="2" s="1"/>
  <c r="AG334" i="2"/>
  <c r="AG336" i="2" s="1"/>
  <c r="AI282" i="2"/>
  <c r="AI347" i="2" s="1"/>
  <c r="AH282" i="2"/>
  <c r="AG282" i="2"/>
  <c r="AG347" i="2" s="1"/>
  <c r="AF282" i="2"/>
  <c r="AC334" i="2"/>
  <c r="AD282" i="2"/>
  <c r="AD350" i="2" s="1"/>
  <c r="AC282" i="2"/>
  <c r="AC348" i="2" s="1"/>
  <c r="AB282" i="2"/>
  <c r="AB350" i="2" s="1"/>
  <c r="AA282" i="2"/>
  <c r="AA284" i="2" s="1"/>
  <c r="X334" i="2"/>
  <c r="Z334" i="2" s="1"/>
  <c r="AB335" i="2" s="1"/>
  <c r="Y282" i="2"/>
  <c r="Y350" i="2" s="1"/>
  <c r="W282" i="2"/>
  <c r="W350" i="2" s="1"/>
  <c r="V334" i="2"/>
  <c r="T334" i="2"/>
  <c r="T335" i="2" s="1"/>
  <c r="T282" i="2"/>
  <c r="T346" i="2" s="1"/>
  <c r="R282" i="2"/>
  <c r="R350" i="2" s="1"/>
  <c r="S350" i="2"/>
  <c r="Q334" i="2"/>
  <c r="Q282" i="2"/>
  <c r="Q346" i="2" s="1"/>
  <c r="O334" i="2"/>
  <c r="O337" i="2" s="1"/>
  <c r="O339" i="2" s="1"/>
  <c r="N334" i="2"/>
  <c r="M334" i="2"/>
  <c r="M336" i="2" s="1"/>
  <c r="O282" i="2"/>
  <c r="N282" i="2"/>
  <c r="N348" i="2" s="1"/>
  <c r="M282" i="2"/>
  <c r="L334" i="2"/>
  <c r="L337" i="2" s="1"/>
  <c r="L282" i="2"/>
  <c r="L346" i="2" s="1"/>
  <c r="I334" i="2"/>
  <c r="I335" i="2" s="1"/>
  <c r="J282" i="2"/>
  <c r="I282" i="2"/>
  <c r="H282" i="2"/>
  <c r="H350" i="2" s="1"/>
  <c r="G334" i="2"/>
  <c r="G337" i="2" s="1"/>
  <c r="G342" i="2" s="1"/>
  <c r="G282" i="2"/>
  <c r="G347" i="2" s="1"/>
  <c r="D334" i="2"/>
  <c r="D337" i="2" s="1"/>
  <c r="E350" i="2"/>
  <c r="C350" i="2"/>
  <c r="B334" i="2"/>
  <c r="B337" i="2" s="1"/>
  <c r="B282" i="2"/>
  <c r="B346" i="2" s="1"/>
  <c r="AI234" i="2"/>
  <c r="AI175" i="2"/>
  <c r="AI276" i="2" s="1"/>
  <c r="AH234" i="2"/>
  <c r="AH235" i="2" s="1"/>
  <c r="AH175" i="2"/>
  <c r="AG175" i="2"/>
  <c r="AG278" i="2" s="1"/>
  <c r="AF234" i="2"/>
  <c r="AF237" i="2" s="1"/>
  <c r="AF242" i="2" s="1"/>
  <c r="AF175" i="2"/>
  <c r="AF197" i="2" s="1"/>
  <c r="AD234" i="2"/>
  <c r="AD175" i="2"/>
  <c r="AC234" i="2"/>
  <c r="AC237" i="2" s="1"/>
  <c r="AC175" i="2"/>
  <c r="AC275" i="2" s="1"/>
  <c r="AB234" i="2"/>
  <c r="AB237" i="2" s="1"/>
  <c r="AB242" i="2" s="1"/>
  <c r="AB175" i="2"/>
  <c r="AB275" i="2" s="1"/>
  <c r="AA234" i="2"/>
  <c r="AA175" i="2"/>
  <c r="Y234" i="2"/>
  <c r="Y237" i="2" s="1"/>
  <c r="Y242" i="2" s="1"/>
  <c r="Y175" i="2"/>
  <c r="X234" i="2"/>
  <c r="X236" i="2" s="1"/>
  <c r="X175" i="2"/>
  <c r="W234" i="2"/>
  <c r="W237" i="2" s="1"/>
  <c r="W175" i="2"/>
  <c r="V234" i="2"/>
  <c r="V237" i="2" s="1"/>
  <c r="V242" i="2" s="1"/>
  <c r="V175" i="2"/>
  <c r="T234" i="2"/>
  <c r="T237" i="2" s="1"/>
  <c r="T175" i="2"/>
  <c r="T275" i="2" s="1"/>
  <c r="S278" i="2"/>
  <c r="R234" i="2"/>
  <c r="R175" i="2"/>
  <c r="S176" i="2" s="1"/>
  <c r="Q234" i="2"/>
  <c r="Q278" i="2" s="1"/>
  <c r="O234" i="2"/>
  <c r="O236" i="2" s="1"/>
  <c r="O175" i="2"/>
  <c r="O275" i="2" s="1"/>
  <c r="N234" i="2"/>
  <c r="N175" i="2"/>
  <c r="M234" i="2"/>
  <c r="M237" i="2" s="1"/>
  <c r="M242" i="2" s="1"/>
  <c r="M175" i="2"/>
  <c r="L234" i="2"/>
  <c r="L237" i="2" s="1"/>
  <c r="L242" i="2" s="1"/>
  <c r="L175" i="2"/>
  <c r="Q177" i="2" s="1"/>
  <c r="J175" i="2"/>
  <c r="J278" i="2" s="1"/>
  <c r="I234" i="2"/>
  <c r="I175" i="2"/>
  <c r="I275" i="2" s="1"/>
  <c r="H234" i="2"/>
  <c r="H237" i="2" s="1"/>
  <c r="H239" i="2" s="1"/>
  <c r="H175" i="2"/>
  <c r="H275" i="2" s="1"/>
  <c r="G234" i="2"/>
  <c r="G183" i="2"/>
  <c r="G180" i="2"/>
  <c r="G186" i="2"/>
  <c r="E278" i="2"/>
  <c r="D278" i="2"/>
  <c r="C278" i="2"/>
  <c r="B234" i="2"/>
  <c r="B237" i="2" s="1"/>
  <c r="B242" i="2" s="1"/>
  <c r="B175" i="2"/>
  <c r="B275" i="2" s="1"/>
  <c r="AI88" i="2"/>
  <c r="AI126" i="2" s="1"/>
  <c r="AH88" i="2"/>
  <c r="AH126" i="2" s="1"/>
  <c r="AG88" i="2"/>
  <c r="AF88" i="2"/>
  <c r="AF126" i="2" s="1"/>
  <c r="AD88" i="2"/>
  <c r="AD126" i="2" s="1"/>
  <c r="AC88" i="2"/>
  <c r="AC126" i="2" s="1"/>
  <c r="AB88" i="2"/>
  <c r="AA88" i="2"/>
  <c r="AA126" i="2" s="1"/>
  <c r="Y88" i="2"/>
  <c r="Y126" i="2" s="1"/>
  <c r="X88" i="2"/>
  <c r="X126" i="2" s="1"/>
  <c r="W88" i="2"/>
  <c r="W126" i="2" s="1"/>
  <c r="V88" i="2"/>
  <c r="V126" i="2" s="1"/>
  <c r="T88" i="2"/>
  <c r="T126" i="2" s="1"/>
  <c r="S88" i="2"/>
  <c r="S126" i="2" s="1"/>
  <c r="R88" i="2"/>
  <c r="R126" i="2" s="1"/>
  <c r="Q88" i="2"/>
  <c r="Q126" i="2" s="1"/>
  <c r="O88" i="2"/>
  <c r="O126" i="2" s="1"/>
  <c r="N88" i="2"/>
  <c r="M88" i="2"/>
  <c r="M126" i="2" s="1"/>
  <c r="L88" i="2"/>
  <c r="L126" i="2" s="1"/>
  <c r="J88" i="2"/>
  <c r="J126" i="2" s="1"/>
  <c r="I88" i="2"/>
  <c r="C88" i="2"/>
  <c r="C126" i="2" s="1"/>
  <c r="B39" i="2"/>
  <c r="B125" i="2" s="1"/>
  <c r="R32" i="7"/>
  <c r="F46" i="3"/>
  <c r="E46" i="3"/>
  <c r="D46" i="3"/>
  <c r="G39" i="2"/>
  <c r="G125" i="2" s="1"/>
  <c r="L39" i="2"/>
  <c r="L125" i="2" s="1"/>
  <c r="Q39" i="2"/>
  <c r="V39" i="2"/>
  <c r="V125" i="2" s="1"/>
  <c r="AA39" i="2"/>
  <c r="AA125" i="2" s="1"/>
  <c r="AF39" i="2"/>
  <c r="AF125" i="2" s="1"/>
  <c r="O39" i="2"/>
  <c r="O125" i="2" s="1"/>
  <c r="N39" i="2"/>
  <c r="N125" i="2" s="1"/>
  <c r="M39" i="2"/>
  <c r="M125" i="2" s="1"/>
  <c r="T39" i="2"/>
  <c r="T125" i="2" s="1"/>
  <c r="S39" i="2"/>
  <c r="S125" i="2" s="1"/>
  <c r="R39" i="2"/>
  <c r="R125" i="2" s="1"/>
  <c r="Y39" i="2"/>
  <c r="Y125" i="2" s="1"/>
  <c r="X39" i="2"/>
  <c r="X125" i="2" s="1"/>
  <c r="W39" i="2"/>
  <c r="W125" i="2" s="1"/>
  <c r="AD39" i="2"/>
  <c r="AD125" i="2" s="1"/>
  <c r="AC39" i="2"/>
  <c r="AC125" i="2" s="1"/>
  <c r="AB39" i="2"/>
  <c r="AB125" i="2" s="1"/>
  <c r="AI39" i="2"/>
  <c r="AI125" i="2" s="1"/>
  <c r="AH39" i="2"/>
  <c r="AH125" i="2" s="1"/>
  <c r="AG39" i="2"/>
  <c r="AG125" i="2" s="1"/>
  <c r="AI442" i="2"/>
  <c r="AH442" i="2"/>
  <c r="AJ441" i="2"/>
  <c r="AJ442" i="2" s="1"/>
  <c r="AJ381" i="2"/>
  <c r="AJ382" i="2" s="1"/>
  <c r="AE381" i="2"/>
  <c r="AG382" i="2" s="1"/>
  <c r="AI383" i="2"/>
  <c r="AH383" i="2"/>
  <c r="AG383" i="2"/>
  <c r="AF383" i="2"/>
  <c r="AA383" i="2"/>
  <c r="V383" i="2"/>
  <c r="Q383" i="2"/>
  <c r="L383" i="2"/>
  <c r="G383" i="2"/>
  <c r="AI382" i="2"/>
  <c r="AH382" i="2"/>
  <c r="AD382" i="2"/>
  <c r="AC382" i="2"/>
  <c r="AJ311" i="2"/>
  <c r="AE311" i="2"/>
  <c r="AG312" i="2" s="1"/>
  <c r="AI313" i="2"/>
  <c r="AH313" i="2"/>
  <c r="AG313" i="2"/>
  <c r="AI312" i="2"/>
  <c r="AH312" i="2"/>
  <c r="AF313" i="2"/>
  <c r="AD312" i="2"/>
  <c r="AC312" i="2"/>
  <c r="AA313" i="2"/>
  <c r="V313" i="2"/>
  <c r="Q313" i="2"/>
  <c r="L313" i="2"/>
  <c r="G313" i="2"/>
  <c r="AI32" i="2"/>
  <c r="AH32" i="2"/>
  <c r="AG32" i="2"/>
  <c r="AF32" i="2"/>
  <c r="AD32" i="2"/>
  <c r="AC32" i="2"/>
  <c r="AB32" i="2"/>
  <c r="AA32" i="2"/>
  <c r="Y32" i="2"/>
  <c r="X32" i="2"/>
  <c r="W32" i="2"/>
  <c r="V32" i="2"/>
  <c r="T32" i="2"/>
  <c r="S32" i="2"/>
  <c r="R32" i="2"/>
  <c r="Q32" i="2"/>
  <c r="O32" i="2"/>
  <c r="N32" i="2"/>
  <c r="M32" i="2"/>
  <c r="L32" i="2"/>
  <c r="J32" i="2"/>
  <c r="I32" i="2"/>
  <c r="H32" i="2"/>
  <c r="AI31" i="2"/>
  <c r="AH31" i="2"/>
  <c r="AD31" i="2"/>
  <c r="AC31" i="2"/>
  <c r="Y31" i="2"/>
  <c r="X31" i="2"/>
  <c r="T31" i="2"/>
  <c r="S31" i="2"/>
  <c r="O31" i="2"/>
  <c r="N31" i="2"/>
  <c r="J31" i="2"/>
  <c r="I31" i="2"/>
  <c r="G32" i="2"/>
  <c r="E31" i="2"/>
  <c r="D31" i="2"/>
  <c r="F30" i="2"/>
  <c r="H31" i="2" s="1"/>
  <c r="K30" i="2"/>
  <c r="M31" i="2" s="1"/>
  <c r="P30" i="2"/>
  <c r="U30" i="2"/>
  <c r="U31" i="2" s="1"/>
  <c r="Z30" i="2"/>
  <c r="AB31" i="2" s="1"/>
  <c r="AE30" i="2"/>
  <c r="AJ30" i="2"/>
  <c r="P32" i="7"/>
  <c r="O32" i="7"/>
  <c r="N32" i="7"/>
  <c r="M32" i="7"/>
  <c r="K32" i="7"/>
  <c r="J32" i="7"/>
  <c r="I32" i="7"/>
  <c r="H32" i="7"/>
  <c r="F32" i="7"/>
  <c r="E32" i="7"/>
  <c r="D32" i="7"/>
  <c r="C32" i="7"/>
  <c r="B32" i="7"/>
  <c r="L24" i="7"/>
  <c r="L32" i="7" s="1"/>
  <c r="L22" i="7"/>
  <c r="G22" i="7"/>
  <c r="G32" i="7" s="1"/>
  <c r="L18" i="7"/>
  <c r="Q114" i="2"/>
  <c r="V114" i="2"/>
  <c r="AA114" i="2"/>
  <c r="AF114" i="2"/>
  <c r="B453" i="2"/>
  <c r="G453" i="2"/>
  <c r="L453" i="2"/>
  <c r="Q453" i="2"/>
  <c r="V453" i="2"/>
  <c r="AA453" i="2"/>
  <c r="AF453" i="2"/>
  <c r="AH453" i="2"/>
  <c r="AH454" i="2" s="1"/>
  <c r="AI453" i="2"/>
  <c r="AJ454" i="2" s="1"/>
  <c r="AF384" i="2"/>
  <c r="AF393" i="2" s="1"/>
  <c r="AJ384" i="2"/>
  <c r="AJ385" i="2" s="1"/>
  <c r="AD432" i="2"/>
  <c r="AD484" i="2" s="1"/>
  <c r="AC432" i="2"/>
  <c r="AH434" i="2" s="1"/>
  <c r="AB432" i="2"/>
  <c r="AB434" i="2" s="1"/>
  <c r="AD438" i="2"/>
  <c r="AC438" i="2"/>
  <c r="AB438" i="2"/>
  <c r="AG440" i="2" s="1"/>
  <c r="AD429" i="2"/>
  <c r="AC429" i="2"/>
  <c r="AB429" i="2"/>
  <c r="AG431" i="2" s="1"/>
  <c r="AJ399" i="2"/>
  <c r="AK173" i="3"/>
  <c r="AJ402" i="2"/>
  <c r="AJ404" i="2" s="1"/>
  <c r="AJ331" i="2"/>
  <c r="AJ333" i="2" s="1"/>
  <c r="AJ231" i="2"/>
  <c r="AJ233" i="2" s="1"/>
  <c r="AJ85" i="2"/>
  <c r="AJ86" i="2" s="1"/>
  <c r="AJ45" i="2"/>
  <c r="AJ468" i="2"/>
  <c r="AJ465" i="2"/>
  <c r="AJ444" i="2"/>
  <c r="AJ438" i="2"/>
  <c r="AJ435" i="2"/>
  <c r="AJ436" i="2" s="1"/>
  <c r="AJ429" i="2"/>
  <c r="AJ456" i="2"/>
  <c r="AJ374" i="2"/>
  <c r="AJ390" i="2"/>
  <c r="AJ391" i="2" s="1"/>
  <c r="AJ328" i="2"/>
  <c r="AJ329" i="2" s="1"/>
  <c r="AJ306" i="2"/>
  <c r="AJ307" i="2" s="1"/>
  <c r="AJ303" i="2"/>
  <c r="AJ297" i="2"/>
  <c r="AJ298" i="2" s="1"/>
  <c r="AJ320" i="2"/>
  <c r="AJ288" i="2"/>
  <c r="AJ289" i="2" s="1"/>
  <c r="AJ285" i="2"/>
  <c r="AJ268" i="2"/>
  <c r="AJ265" i="2"/>
  <c r="AJ262" i="2"/>
  <c r="AJ259" i="2"/>
  <c r="AJ256" i="2"/>
  <c r="AJ253" i="2"/>
  <c r="AJ228" i="2"/>
  <c r="AJ211" i="2"/>
  <c r="AJ212" i="2" s="1"/>
  <c r="AJ205" i="2"/>
  <c r="AJ202" i="2"/>
  <c r="AJ199" i="2"/>
  <c r="AJ200" i="2" s="1"/>
  <c r="AJ208" i="2"/>
  <c r="AJ209" i="2" s="1"/>
  <c r="AJ190" i="2"/>
  <c r="AJ184" i="2"/>
  <c r="AJ185" i="2" s="1"/>
  <c r="AJ178" i="2"/>
  <c r="AJ181" i="2"/>
  <c r="AJ70" i="2"/>
  <c r="AJ67" i="2"/>
  <c r="AJ64" i="2"/>
  <c r="AJ61" i="2"/>
  <c r="AJ58" i="2"/>
  <c r="AJ55" i="2"/>
  <c r="AJ52" i="2"/>
  <c r="AJ82" i="2"/>
  <c r="AJ27" i="2"/>
  <c r="AJ28" i="2" s="1"/>
  <c r="AJ24" i="2"/>
  <c r="AJ18" i="2"/>
  <c r="AJ15" i="2"/>
  <c r="AJ12" i="2"/>
  <c r="AJ33" i="2"/>
  <c r="AJ21" i="2"/>
  <c r="AJ9" i="2"/>
  <c r="AI207" i="2"/>
  <c r="AI332" i="2"/>
  <c r="AI486" i="2"/>
  <c r="AI485" i="2"/>
  <c r="AI484" i="2"/>
  <c r="AI470" i="2"/>
  <c r="AI469" i="2"/>
  <c r="AI467" i="2"/>
  <c r="AI466" i="2"/>
  <c r="AI459" i="2"/>
  <c r="AI487" i="2" s="1"/>
  <c r="AI446" i="2"/>
  <c r="AI445" i="2"/>
  <c r="AI439" i="2"/>
  <c r="AI437" i="2"/>
  <c r="AI436" i="2"/>
  <c r="AI430" i="2"/>
  <c r="AI458" i="2"/>
  <c r="AI457" i="2"/>
  <c r="AI449" i="2"/>
  <c r="AI448" i="2"/>
  <c r="AI433" i="2"/>
  <c r="AI428" i="2"/>
  <c r="AI427" i="2"/>
  <c r="AI419" i="2"/>
  <c r="AI418" i="2"/>
  <c r="AI417" i="2"/>
  <c r="AI404" i="2"/>
  <c r="AI403" i="2"/>
  <c r="AI376" i="2"/>
  <c r="AI375" i="2"/>
  <c r="AI370" i="2"/>
  <c r="AI369" i="2"/>
  <c r="AI392" i="2"/>
  <c r="AI391" i="2"/>
  <c r="AI389" i="2"/>
  <c r="AI388" i="2"/>
  <c r="AI373" i="2"/>
  <c r="AI372" i="2"/>
  <c r="AI356" i="2"/>
  <c r="AI355" i="2"/>
  <c r="AI333" i="2"/>
  <c r="AI330" i="2"/>
  <c r="AI329" i="2"/>
  <c r="AI316" i="2"/>
  <c r="AI315" i="2"/>
  <c r="AI308" i="2"/>
  <c r="AI307" i="2"/>
  <c r="AI305" i="2"/>
  <c r="AI304" i="2"/>
  <c r="AI299" i="2"/>
  <c r="AI298" i="2"/>
  <c r="AI322" i="2"/>
  <c r="AI321" i="2"/>
  <c r="AI318" i="2"/>
  <c r="AI301" i="2"/>
  <c r="AI290" i="2"/>
  <c r="AI289" i="2"/>
  <c r="AI287" i="2"/>
  <c r="AI286" i="2"/>
  <c r="AI270" i="2"/>
  <c r="AI269" i="2"/>
  <c r="AI267" i="2"/>
  <c r="AI266" i="2"/>
  <c r="AI255" i="2"/>
  <c r="AI254" i="2"/>
  <c r="AI264" i="2"/>
  <c r="AI263" i="2"/>
  <c r="AI261" i="2"/>
  <c r="AI260" i="2"/>
  <c r="AI258" i="2"/>
  <c r="AI257" i="2"/>
  <c r="AI250" i="2"/>
  <c r="AI233" i="2"/>
  <c r="AI232" i="2"/>
  <c r="AI230" i="2"/>
  <c r="AI229" i="2"/>
  <c r="AI223" i="2"/>
  <c r="AI220" i="2" s="1"/>
  <c r="AI213" i="2"/>
  <c r="AI212" i="2"/>
  <c r="AI204" i="2"/>
  <c r="AI203" i="2"/>
  <c r="AI201" i="2"/>
  <c r="AI200" i="2"/>
  <c r="AI210" i="2"/>
  <c r="AI209" i="2"/>
  <c r="AI192" i="2"/>
  <c r="AI191" i="2"/>
  <c r="AI186" i="2"/>
  <c r="AI185" i="2"/>
  <c r="AI180" i="2"/>
  <c r="AI179" i="2"/>
  <c r="AI183" i="2"/>
  <c r="AI182" i="2"/>
  <c r="AI72" i="2"/>
  <c r="AI71" i="2"/>
  <c r="AI69" i="2"/>
  <c r="AI68" i="2"/>
  <c r="AI66" i="2"/>
  <c r="AI65" i="2"/>
  <c r="AI63" i="2"/>
  <c r="AI62" i="2"/>
  <c r="AI60" i="2"/>
  <c r="AI59" i="2"/>
  <c r="AI57" i="2"/>
  <c r="AI56" i="2"/>
  <c r="AI54" i="2"/>
  <c r="AI53" i="2"/>
  <c r="AI87" i="2"/>
  <c r="AI86" i="2"/>
  <c r="AI84" i="2"/>
  <c r="AI83" i="2"/>
  <c r="AI29" i="2"/>
  <c r="AI28" i="2"/>
  <c r="AI26" i="2"/>
  <c r="AI25" i="2"/>
  <c r="AI17" i="2"/>
  <c r="AI16" i="2"/>
  <c r="AI14" i="2"/>
  <c r="AI13" i="2"/>
  <c r="AI35" i="2"/>
  <c r="AI34" i="2"/>
  <c r="AI23" i="2"/>
  <c r="AI22" i="2"/>
  <c r="AI11" i="2"/>
  <c r="AI10" i="2"/>
  <c r="AH459" i="2"/>
  <c r="AH487" i="2" s="1"/>
  <c r="AC459" i="2"/>
  <c r="AI218" i="2"/>
  <c r="AC377" i="2"/>
  <c r="AC378" i="2" s="1"/>
  <c r="AH337" i="2"/>
  <c r="AH342" i="2" s="1"/>
  <c r="AH323" i="2"/>
  <c r="AH207" i="2"/>
  <c r="AH206" i="2"/>
  <c r="AH209" i="2"/>
  <c r="AH486" i="2"/>
  <c r="AH485" i="2"/>
  <c r="AH470" i="2"/>
  <c r="AH469" i="2"/>
  <c r="AH467" i="2"/>
  <c r="AH466" i="2"/>
  <c r="AH446" i="2"/>
  <c r="AH445" i="2"/>
  <c r="AH439" i="2"/>
  <c r="AH437" i="2"/>
  <c r="AH436" i="2"/>
  <c r="AH430" i="2"/>
  <c r="AH458" i="2"/>
  <c r="AH457" i="2"/>
  <c r="AH449" i="2"/>
  <c r="AH448" i="2"/>
  <c r="AH428" i="2"/>
  <c r="AH427" i="2"/>
  <c r="AH419" i="2"/>
  <c r="AH404" i="2"/>
  <c r="AH403" i="2"/>
  <c r="AH376" i="2"/>
  <c r="AH375" i="2"/>
  <c r="AH370" i="2"/>
  <c r="AH369" i="2"/>
  <c r="AH392" i="2"/>
  <c r="AH391" i="2"/>
  <c r="AH417" i="2"/>
  <c r="AH356" i="2"/>
  <c r="AH355" i="2"/>
  <c r="AH333" i="2"/>
  <c r="AH332" i="2"/>
  <c r="AH330" i="2"/>
  <c r="AH329" i="2"/>
  <c r="AH308" i="2"/>
  <c r="AH307" i="2"/>
  <c r="AH305" i="2"/>
  <c r="AH304" i="2"/>
  <c r="AH299" i="2"/>
  <c r="AH298" i="2"/>
  <c r="AH322" i="2"/>
  <c r="AH321" i="2"/>
  <c r="AH290" i="2"/>
  <c r="AH289" i="2"/>
  <c r="AH287" i="2"/>
  <c r="AH286" i="2"/>
  <c r="AH270" i="2"/>
  <c r="AH269" i="2"/>
  <c r="AH267" i="2"/>
  <c r="AH266" i="2"/>
  <c r="AH255" i="2"/>
  <c r="AH254" i="2"/>
  <c r="AH264" i="2"/>
  <c r="AH263" i="2"/>
  <c r="AH261" i="2"/>
  <c r="AH260" i="2"/>
  <c r="AH258" i="2"/>
  <c r="AH257" i="2"/>
  <c r="AH250" i="2"/>
  <c r="AH233" i="2"/>
  <c r="AH232" i="2"/>
  <c r="AH230" i="2"/>
  <c r="AH229" i="2"/>
  <c r="AH223" i="2"/>
  <c r="AH213" i="2"/>
  <c r="AH212" i="2"/>
  <c r="AH204" i="2"/>
  <c r="AH203" i="2"/>
  <c r="AH201" i="2"/>
  <c r="AH200" i="2"/>
  <c r="AH210" i="2"/>
  <c r="AH192" i="2"/>
  <c r="AH191" i="2"/>
  <c r="AH186" i="2"/>
  <c r="AH185" i="2"/>
  <c r="AH180" i="2"/>
  <c r="AH179" i="2"/>
  <c r="AH183" i="2"/>
  <c r="AH182" i="2"/>
  <c r="AH72" i="2"/>
  <c r="AH71" i="2"/>
  <c r="AH69" i="2"/>
  <c r="AH68" i="2"/>
  <c r="AH66" i="2"/>
  <c r="AH65" i="2"/>
  <c r="AH63" i="2"/>
  <c r="AH62" i="2"/>
  <c r="AH60" i="2"/>
  <c r="AH59" i="2"/>
  <c r="AH57" i="2"/>
  <c r="AH56" i="2"/>
  <c r="AH54" i="2"/>
  <c r="AH53" i="2"/>
  <c r="AH87" i="2"/>
  <c r="AH86" i="2"/>
  <c r="AH84" i="2"/>
  <c r="AH83" i="2"/>
  <c r="AH29" i="2"/>
  <c r="AH28" i="2"/>
  <c r="AH26" i="2"/>
  <c r="AH25" i="2"/>
  <c r="AH17" i="2"/>
  <c r="AH16" i="2"/>
  <c r="AH14" i="2"/>
  <c r="AH13" i="2"/>
  <c r="AH35" i="2"/>
  <c r="AH34" i="2"/>
  <c r="AH23" i="2"/>
  <c r="AH22" i="2"/>
  <c r="AH11" i="2"/>
  <c r="AH10" i="2"/>
  <c r="AB459" i="2"/>
  <c r="AG314" i="2"/>
  <c r="AH315" i="2" s="1"/>
  <c r="AG237" i="2"/>
  <c r="AG242" i="2" s="1"/>
  <c r="AG54" i="2"/>
  <c r="AG198" i="3"/>
  <c r="AG201" i="3" s="1"/>
  <c r="AG305" i="2"/>
  <c r="AG14" i="2"/>
  <c r="AG486" i="2"/>
  <c r="AG485" i="2"/>
  <c r="AG484" i="2"/>
  <c r="AG470" i="2"/>
  <c r="AG467" i="2"/>
  <c r="AG459" i="2"/>
  <c r="AG487" i="2" s="1"/>
  <c r="AG446" i="2"/>
  <c r="AG437" i="2"/>
  <c r="AG458" i="2"/>
  <c r="AG449" i="2"/>
  <c r="AG428" i="2"/>
  <c r="AG419" i="2"/>
  <c r="AG418" i="2"/>
  <c r="AG417" i="2"/>
  <c r="AG404" i="2"/>
  <c r="AG403" i="2"/>
  <c r="AG379" i="2"/>
  <c r="AG376" i="2"/>
  <c r="AG370" i="2"/>
  <c r="AG392" i="2"/>
  <c r="AG389" i="2"/>
  <c r="AG373" i="2"/>
  <c r="AG356" i="2"/>
  <c r="AG333" i="2"/>
  <c r="AG332" i="2"/>
  <c r="AG330" i="2"/>
  <c r="AG308" i="2"/>
  <c r="AG299" i="2"/>
  <c r="AG322" i="2"/>
  <c r="AG290" i="2"/>
  <c r="AG287" i="2"/>
  <c r="AG270" i="2"/>
  <c r="AG267" i="2"/>
  <c r="AG255" i="2"/>
  <c r="AG264" i="2"/>
  <c r="AG261" i="2"/>
  <c r="AG258" i="2"/>
  <c r="AG250" i="2"/>
  <c r="AG233" i="2"/>
  <c r="AG232" i="2"/>
  <c r="AG230" i="2"/>
  <c r="AG223" i="2"/>
  <c r="AG213" i="2"/>
  <c r="AG207" i="2"/>
  <c r="AG204" i="2"/>
  <c r="AG201" i="2"/>
  <c r="AG210" i="2"/>
  <c r="AG192" i="2"/>
  <c r="AG186" i="2"/>
  <c r="AG180" i="2"/>
  <c r="AG183" i="2"/>
  <c r="AG72" i="2"/>
  <c r="AG69" i="2"/>
  <c r="AG66" i="2"/>
  <c r="AG63" i="2"/>
  <c r="AG60" i="2"/>
  <c r="AG57" i="2"/>
  <c r="AG87" i="2"/>
  <c r="AG86" i="2"/>
  <c r="AG84" i="2"/>
  <c r="AG29" i="2"/>
  <c r="AG26" i="2"/>
  <c r="AG17" i="2"/>
  <c r="AG35" i="2"/>
  <c r="AG23" i="2"/>
  <c r="AG11" i="2"/>
  <c r="AA377" i="2"/>
  <c r="AF377" i="2"/>
  <c r="AA459" i="2"/>
  <c r="AA487" i="2" s="1"/>
  <c r="AF402" i="2"/>
  <c r="AF404" i="2" s="1"/>
  <c r="AF331" i="2"/>
  <c r="AF231" i="2"/>
  <c r="AF85" i="2"/>
  <c r="AF470" i="2"/>
  <c r="AF467" i="2"/>
  <c r="AF446" i="2"/>
  <c r="AF440" i="2"/>
  <c r="AF437" i="2"/>
  <c r="AF431" i="2"/>
  <c r="AF458" i="2"/>
  <c r="AF428" i="2"/>
  <c r="AF434" i="2"/>
  <c r="AF390" i="2"/>
  <c r="AE390" i="2" s="1"/>
  <c r="AG391" i="2" s="1"/>
  <c r="AF399" i="2"/>
  <c r="V377" i="2"/>
  <c r="U377" i="2" s="1"/>
  <c r="AD377" i="2"/>
  <c r="AF368" i="2"/>
  <c r="AE368" i="2" s="1"/>
  <c r="AG369" i="2" s="1"/>
  <c r="AF207" i="2"/>
  <c r="AE233" i="2"/>
  <c r="F25" i="3"/>
  <c r="E25" i="3"/>
  <c r="D25" i="3"/>
  <c r="G366" i="2"/>
  <c r="G364" i="2"/>
  <c r="L366" i="2"/>
  <c r="L364" i="2"/>
  <c r="Q366" i="2"/>
  <c r="Q364" i="2"/>
  <c r="V366" i="2"/>
  <c r="V364" i="2"/>
  <c r="AF366" i="2"/>
  <c r="AF364" i="2"/>
  <c r="G361" i="2"/>
  <c r="G359" i="2"/>
  <c r="V361" i="2"/>
  <c r="AF361" i="2"/>
  <c r="AF359" i="2"/>
  <c r="L361" i="2"/>
  <c r="L359" i="2"/>
  <c r="Q361" i="2"/>
  <c r="Q359" i="2"/>
  <c r="V359" i="2"/>
  <c r="AA361" i="2"/>
  <c r="AA359" i="2"/>
  <c r="AA366" i="2"/>
  <c r="AA364" i="2"/>
  <c r="V295" i="2"/>
  <c r="V293" i="2"/>
  <c r="Q197" i="2"/>
  <c r="Q195" i="2"/>
  <c r="AF486" i="2"/>
  <c r="AF484" i="2"/>
  <c r="AF481" i="2"/>
  <c r="AF250" i="2"/>
  <c r="AF252" i="2" s="1"/>
  <c r="AE468" i="2"/>
  <c r="AG466" i="2"/>
  <c r="AE444" i="2"/>
  <c r="AG445" i="2" s="1"/>
  <c r="AE435" i="2"/>
  <c r="AG436" i="2" s="1"/>
  <c r="AE456" i="2"/>
  <c r="AG457" i="2" s="1"/>
  <c r="AF376" i="2"/>
  <c r="AE374" i="2"/>
  <c r="AE375" i="2" s="1"/>
  <c r="AF356" i="2"/>
  <c r="AF342" i="2"/>
  <c r="AF336" i="2"/>
  <c r="AF330" i="2"/>
  <c r="AE328" i="2"/>
  <c r="AG329" i="2" s="1"/>
  <c r="AF316" i="2"/>
  <c r="AF308" i="2"/>
  <c r="AE306" i="2"/>
  <c r="AG307" i="2" s="1"/>
  <c r="AF305" i="2"/>
  <c r="AE303" i="2"/>
  <c r="AF299" i="2"/>
  <c r="AE297" i="2"/>
  <c r="AF322" i="2"/>
  <c r="AE320" i="2"/>
  <c r="AG321" i="2" s="1"/>
  <c r="AF290" i="2"/>
  <c r="AE288" i="2"/>
  <c r="AG289" i="2" s="1"/>
  <c r="AF287" i="2"/>
  <c r="AE285" i="2"/>
  <c r="AE286" i="2" s="1"/>
  <c r="AF273" i="2"/>
  <c r="AE271" i="2"/>
  <c r="AE272" i="2" s="1"/>
  <c r="AF270" i="2"/>
  <c r="AE268" i="2"/>
  <c r="AE269" i="2" s="1"/>
  <c r="AF267" i="2"/>
  <c r="AE265" i="2"/>
  <c r="AF255" i="2"/>
  <c r="AE253" i="2"/>
  <c r="AG254" i="2" s="1"/>
  <c r="AF264" i="2"/>
  <c r="AE262" i="2"/>
  <c r="AF261" i="2"/>
  <c r="AE259" i="2"/>
  <c r="AF258" i="2"/>
  <c r="AE256" i="2"/>
  <c r="AE257" i="2" s="1"/>
  <c r="AE232" i="2"/>
  <c r="AF230" i="2"/>
  <c r="AE228" i="2"/>
  <c r="AE229" i="2" s="1"/>
  <c r="AF223" i="2"/>
  <c r="AF213" i="2"/>
  <c r="AE211" i="2"/>
  <c r="AE205" i="2"/>
  <c r="AF204" i="2"/>
  <c r="AE202" i="2"/>
  <c r="AE203" i="2" s="1"/>
  <c r="AF201" i="2"/>
  <c r="AE199" i="2"/>
  <c r="AE200" i="2" s="1"/>
  <c r="AF210" i="2"/>
  <c r="AE208" i="2"/>
  <c r="AF192" i="2"/>
  <c r="AE190" i="2"/>
  <c r="AF186" i="2"/>
  <c r="AE184" i="2"/>
  <c r="AG185" i="2" s="1"/>
  <c r="AF180" i="2"/>
  <c r="AE178" i="2"/>
  <c r="AE179" i="2" s="1"/>
  <c r="AF183" i="2"/>
  <c r="AE181" i="2"/>
  <c r="AG182" i="2" s="1"/>
  <c r="AF72" i="2"/>
  <c r="AE70" i="2"/>
  <c r="AF69" i="2"/>
  <c r="AE67" i="2"/>
  <c r="AF66" i="2"/>
  <c r="AE64" i="2"/>
  <c r="AF63" i="2"/>
  <c r="AE61" i="2"/>
  <c r="AE62" i="2" s="1"/>
  <c r="AF60" i="2"/>
  <c r="AE58" i="2"/>
  <c r="AE59" i="2" s="1"/>
  <c r="AF57" i="2"/>
  <c r="AE55" i="2"/>
  <c r="AF54" i="2"/>
  <c r="AE52" i="2"/>
  <c r="AE87" i="2"/>
  <c r="AE86" i="2"/>
  <c r="AF84" i="2"/>
  <c r="AE82" i="2"/>
  <c r="AF29" i="2"/>
  <c r="AE27" i="2"/>
  <c r="AF26" i="2"/>
  <c r="AE24" i="2"/>
  <c r="AE18" i="2"/>
  <c r="AF17" i="2"/>
  <c r="AE15" i="2"/>
  <c r="AG16" i="2" s="1"/>
  <c r="AF14" i="2"/>
  <c r="AE12" i="2"/>
  <c r="AF35" i="2"/>
  <c r="AE33" i="2"/>
  <c r="AF23" i="2"/>
  <c r="AE21" i="2"/>
  <c r="AF11" i="2"/>
  <c r="AE9" i="2"/>
  <c r="AG10" i="2" s="1"/>
  <c r="D12" i="3"/>
  <c r="E12" i="3"/>
  <c r="F12" i="3"/>
  <c r="F15" i="3"/>
  <c r="F16" i="3" s="1"/>
  <c r="D16" i="3"/>
  <c r="E16" i="3"/>
  <c r="D20" i="3"/>
  <c r="E20" i="3"/>
  <c r="F20" i="3"/>
  <c r="D29" i="3"/>
  <c r="E29" i="3"/>
  <c r="F29" i="3"/>
  <c r="D35" i="3"/>
  <c r="E35" i="3"/>
  <c r="F35" i="3"/>
  <c r="D51" i="3"/>
  <c r="E51" i="3"/>
  <c r="F51" i="3"/>
  <c r="D54" i="3"/>
  <c r="E54" i="3"/>
  <c r="F54" i="3"/>
  <c r="D70" i="3"/>
  <c r="E70" i="3"/>
  <c r="F70" i="3"/>
  <c r="D76" i="3"/>
  <c r="E76" i="3"/>
  <c r="F76" i="3"/>
  <c r="D112" i="3"/>
  <c r="E112" i="3"/>
  <c r="F112" i="3"/>
  <c r="D117" i="3"/>
  <c r="E117" i="3"/>
  <c r="F117" i="3"/>
  <c r="O226" i="3"/>
  <c r="T226" i="3"/>
  <c r="T229" i="3" s="1"/>
  <c r="K9" i="2"/>
  <c r="K10" i="2" s="1"/>
  <c r="P9" i="2"/>
  <c r="R10" i="2" s="1"/>
  <c r="U9" i="2"/>
  <c r="U10" i="2" s="1"/>
  <c r="Z9" i="2"/>
  <c r="Z10" i="2" s="1"/>
  <c r="D10" i="2"/>
  <c r="E10" i="2"/>
  <c r="F10" i="2"/>
  <c r="H10" i="2"/>
  <c r="I10" i="2"/>
  <c r="J10" i="2"/>
  <c r="N10" i="2"/>
  <c r="O10" i="2"/>
  <c r="S10" i="2"/>
  <c r="T10" i="2"/>
  <c r="X10" i="2"/>
  <c r="Y10" i="2"/>
  <c r="AC10" i="2"/>
  <c r="AD10" i="2"/>
  <c r="G11" i="2"/>
  <c r="H11" i="2"/>
  <c r="I11" i="2"/>
  <c r="J11" i="2"/>
  <c r="L11" i="2"/>
  <c r="M11" i="2"/>
  <c r="N11" i="2"/>
  <c r="O11" i="2"/>
  <c r="Q11" i="2"/>
  <c r="R11" i="2"/>
  <c r="S11" i="2"/>
  <c r="T11" i="2"/>
  <c r="V11" i="2"/>
  <c r="W11" i="2"/>
  <c r="X11" i="2"/>
  <c r="Y11" i="2"/>
  <c r="AA11" i="2"/>
  <c r="AB11" i="2"/>
  <c r="AC11" i="2"/>
  <c r="AD11" i="2"/>
  <c r="K21" i="2"/>
  <c r="P21" i="2"/>
  <c r="U21" i="2"/>
  <c r="Z21" i="2"/>
  <c r="D22" i="2"/>
  <c r="E22" i="2"/>
  <c r="F22" i="2"/>
  <c r="H22" i="2"/>
  <c r="I22" i="2"/>
  <c r="J22" i="2"/>
  <c r="N22" i="2"/>
  <c r="O22" i="2"/>
  <c r="S22" i="2"/>
  <c r="T22" i="2"/>
  <c r="X22" i="2"/>
  <c r="Y22" i="2"/>
  <c r="AC22" i="2"/>
  <c r="AD22" i="2"/>
  <c r="G23" i="2"/>
  <c r="H23" i="2"/>
  <c r="I23" i="2"/>
  <c r="J23" i="2"/>
  <c r="L23" i="2"/>
  <c r="M23" i="2"/>
  <c r="N23" i="2"/>
  <c r="O23" i="2"/>
  <c r="Q23" i="2"/>
  <c r="R23" i="2"/>
  <c r="S23" i="2"/>
  <c r="T23" i="2"/>
  <c r="V23" i="2"/>
  <c r="W23" i="2"/>
  <c r="X23" i="2"/>
  <c r="Y23" i="2"/>
  <c r="AA23" i="2"/>
  <c r="AB23" i="2"/>
  <c r="AC23" i="2"/>
  <c r="AD23" i="2"/>
  <c r="K33" i="2"/>
  <c r="K124" i="2" s="1"/>
  <c r="P33" i="2"/>
  <c r="U33" i="2"/>
  <c r="U124" i="2" s="1"/>
  <c r="Z33" i="2"/>
  <c r="Z124" i="2" s="1"/>
  <c r="D34" i="2"/>
  <c r="E34" i="2"/>
  <c r="F34" i="2"/>
  <c r="H34" i="2"/>
  <c r="I34" i="2"/>
  <c r="J34" i="2"/>
  <c r="N34" i="2"/>
  <c r="O34" i="2"/>
  <c r="S34" i="2"/>
  <c r="T34" i="2"/>
  <c r="X34" i="2"/>
  <c r="Y34" i="2"/>
  <c r="AC34" i="2"/>
  <c r="AD34" i="2"/>
  <c r="G35" i="2"/>
  <c r="H35" i="2"/>
  <c r="I35" i="2"/>
  <c r="J35" i="2"/>
  <c r="L35" i="2"/>
  <c r="M35" i="2"/>
  <c r="N35" i="2"/>
  <c r="O35" i="2"/>
  <c r="Q35" i="2"/>
  <c r="R35" i="2"/>
  <c r="S35" i="2"/>
  <c r="T35" i="2"/>
  <c r="V35" i="2"/>
  <c r="W35" i="2"/>
  <c r="X35" i="2"/>
  <c r="Y35" i="2"/>
  <c r="AA35" i="2"/>
  <c r="AB35" i="2"/>
  <c r="AC35" i="2"/>
  <c r="AD35" i="2"/>
  <c r="F42" i="2"/>
  <c r="L42" i="2"/>
  <c r="K42" i="2" s="1"/>
  <c r="M42" i="2"/>
  <c r="U42" i="2"/>
  <c r="Z42" i="2"/>
  <c r="F45" i="2"/>
  <c r="L45" i="2"/>
  <c r="K45" i="2" s="1"/>
  <c r="M45" i="2"/>
  <c r="Z45" i="2"/>
  <c r="K12" i="2"/>
  <c r="K14" i="2" s="1"/>
  <c r="P12" i="2"/>
  <c r="U12" i="2"/>
  <c r="U13" i="2" s="1"/>
  <c r="Z12" i="2"/>
  <c r="D13" i="2"/>
  <c r="E13" i="2"/>
  <c r="F13" i="2"/>
  <c r="H13" i="2"/>
  <c r="I13" i="2"/>
  <c r="J13" i="2"/>
  <c r="N13" i="2"/>
  <c r="O13" i="2"/>
  <c r="S13" i="2"/>
  <c r="T13" i="2"/>
  <c r="X13" i="2"/>
  <c r="Y13" i="2"/>
  <c r="AC13" i="2"/>
  <c r="AD13" i="2"/>
  <c r="G14" i="2"/>
  <c r="H14" i="2"/>
  <c r="I14" i="2"/>
  <c r="J14" i="2"/>
  <c r="L14" i="2"/>
  <c r="M14" i="2"/>
  <c r="N14" i="2"/>
  <c r="O14" i="2"/>
  <c r="Q14" i="2"/>
  <c r="R14" i="2"/>
  <c r="S14" i="2"/>
  <c r="T14" i="2"/>
  <c r="V14" i="2"/>
  <c r="W14" i="2"/>
  <c r="X14" i="2"/>
  <c r="Y14" i="2"/>
  <c r="AA14" i="2"/>
  <c r="AB14" i="2"/>
  <c r="AC14" i="2"/>
  <c r="AD14" i="2"/>
  <c r="P15" i="2"/>
  <c r="U15" i="2"/>
  <c r="Z15" i="2"/>
  <c r="AB16" i="2" s="1"/>
  <c r="N16" i="2"/>
  <c r="O16" i="2"/>
  <c r="S16" i="2"/>
  <c r="T16" i="2"/>
  <c r="X16" i="2"/>
  <c r="Y16" i="2"/>
  <c r="AC16" i="2"/>
  <c r="AD16" i="2"/>
  <c r="G17" i="2"/>
  <c r="L17" i="2"/>
  <c r="Q17" i="2"/>
  <c r="R17" i="2"/>
  <c r="S17" i="2"/>
  <c r="T17" i="2"/>
  <c r="V17" i="2"/>
  <c r="W17" i="2"/>
  <c r="X17" i="2"/>
  <c r="Y17" i="2"/>
  <c r="AA17" i="2"/>
  <c r="AB17" i="2"/>
  <c r="AC17" i="2"/>
  <c r="AD17" i="2"/>
  <c r="P18" i="2"/>
  <c r="P19" i="2" s="1"/>
  <c r="U18" i="2"/>
  <c r="Z18" i="2"/>
  <c r="N19" i="2"/>
  <c r="O19" i="2"/>
  <c r="T19" i="2"/>
  <c r="S20" i="2"/>
  <c r="T20" i="2"/>
  <c r="Y20" i="2"/>
  <c r="P24" i="2"/>
  <c r="U24" i="2"/>
  <c r="U25" i="2" s="1"/>
  <c r="Z24" i="2"/>
  <c r="O25" i="2"/>
  <c r="S25" i="2"/>
  <c r="T25" i="2"/>
  <c r="Y25" i="2"/>
  <c r="AC25" i="2"/>
  <c r="AD25" i="2"/>
  <c r="G26" i="2"/>
  <c r="S26" i="2"/>
  <c r="T26" i="2"/>
  <c r="V26" i="2"/>
  <c r="X26" i="2"/>
  <c r="Y26" i="2"/>
  <c r="AA26" i="2"/>
  <c r="AB26" i="2"/>
  <c r="AC26" i="2"/>
  <c r="AD26" i="2"/>
  <c r="P27" i="2"/>
  <c r="U27" i="2"/>
  <c r="W28" i="2" s="1"/>
  <c r="Z27" i="2"/>
  <c r="N28" i="2"/>
  <c r="O28" i="2"/>
  <c r="S28" i="2"/>
  <c r="T28" i="2"/>
  <c r="X28" i="2"/>
  <c r="Y28" i="2"/>
  <c r="AC28" i="2"/>
  <c r="AD28" i="2"/>
  <c r="S29" i="2"/>
  <c r="T29" i="2"/>
  <c r="V29" i="2"/>
  <c r="W29" i="2"/>
  <c r="X29" i="2"/>
  <c r="Y29" i="2"/>
  <c r="AA29" i="2"/>
  <c r="AB29" i="2"/>
  <c r="AC29" i="2"/>
  <c r="AD29" i="2"/>
  <c r="C39" i="2"/>
  <c r="C125" i="2" s="1"/>
  <c r="D39" i="2"/>
  <c r="D125" i="2" s="1"/>
  <c r="E39" i="2"/>
  <c r="E125" i="2" s="1"/>
  <c r="H39" i="2"/>
  <c r="H125" i="2" s="1"/>
  <c r="I39" i="2"/>
  <c r="I125" i="2" s="1"/>
  <c r="J39" i="2"/>
  <c r="J125" i="2" s="1"/>
  <c r="B82" i="2"/>
  <c r="C82" i="2"/>
  <c r="D82" i="2"/>
  <c r="E82" i="2"/>
  <c r="J84" i="2" s="1"/>
  <c r="G82" i="2"/>
  <c r="G84" i="2" s="1"/>
  <c r="H82" i="2"/>
  <c r="M84" i="2" s="1"/>
  <c r="I82" i="2"/>
  <c r="L82" i="2"/>
  <c r="Q84" i="2" s="1"/>
  <c r="P82" i="2"/>
  <c r="U82" i="2"/>
  <c r="U83" i="2" s="1"/>
  <c r="Z82" i="2"/>
  <c r="N83" i="2"/>
  <c r="O83" i="2"/>
  <c r="S83" i="2"/>
  <c r="T83" i="2"/>
  <c r="X83" i="2"/>
  <c r="Y83" i="2"/>
  <c r="AC83" i="2"/>
  <c r="AD83" i="2"/>
  <c r="O84" i="2"/>
  <c r="R84" i="2"/>
  <c r="S84" i="2"/>
  <c r="T84" i="2"/>
  <c r="V84" i="2"/>
  <c r="W84" i="2"/>
  <c r="X84" i="2"/>
  <c r="Y84" i="2"/>
  <c r="AA84" i="2"/>
  <c r="AB84" i="2"/>
  <c r="AC84" i="2"/>
  <c r="AD84" i="2"/>
  <c r="B85" i="2"/>
  <c r="C85" i="2"/>
  <c r="D85" i="2"/>
  <c r="E85" i="2"/>
  <c r="G85" i="2"/>
  <c r="G87" i="2" s="1"/>
  <c r="H85" i="2"/>
  <c r="H87" i="2" s="1"/>
  <c r="I85" i="2"/>
  <c r="I87" i="2" s="1"/>
  <c r="J85" i="2"/>
  <c r="L85" i="2"/>
  <c r="Q87" i="2" s="1"/>
  <c r="U85" i="2"/>
  <c r="U87" i="2" s="1"/>
  <c r="AA85" i="2"/>
  <c r="AA87" i="2" s="1"/>
  <c r="N86" i="2"/>
  <c r="O86" i="2"/>
  <c r="P86" i="2"/>
  <c r="R86" i="2"/>
  <c r="S86" i="2"/>
  <c r="T86" i="2"/>
  <c r="X86" i="2"/>
  <c r="Y86" i="2"/>
  <c r="Z86" i="2"/>
  <c r="AB86" i="2"/>
  <c r="AC86" i="2"/>
  <c r="AD86" i="2"/>
  <c r="R87" i="2"/>
  <c r="S87" i="2"/>
  <c r="T87" i="2"/>
  <c r="V87" i="2"/>
  <c r="W87" i="2"/>
  <c r="X87" i="2"/>
  <c r="Y87" i="2"/>
  <c r="AB87" i="2"/>
  <c r="AC87" i="2"/>
  <c r="AD87" i="2"/>
  <c r="L51" i="2"/>
  <c r="P49" i="2"/>
  <c r="P50" i="2" s="1"/>
  <c r="R51" i="2"/>
  <c r="S51" i="2"/>
  <c r="T51" i="2"/>
  <c r="V51" i="2"/>
  <c r="AA51" i="2"/>
  <c r="AB51" i="2"/>
  <c r="N50" i="2"/>
  <c r="O50" i="2"/>
  <c r="G51" i="2"/>
  <c r="U52" i="2"/>
  <c r="U53" i="2" s="1"/>
  <c r="Z52" i="2"/>
  <c r="AB53" i="2" s="1"/>
  <c r="S53" i="2"/>
  <c r="T53" i="2"/>
  <c r="X53" i="2"/>
  <c r="Y53" i="2"/>
  <c r="AC53" i="2"/>
  <c r="AD53" i="2"/>
  <c r="Q54" i="2"/>
  <c r="V54" i="2"/>
  <c r="W54" i="2"/>
  <c r="X54" i="2"/>
  <c r="Y54" i="2"/>
  <c r="AA54" i="2"/>
  <c r="AB54" i="2"/>
  <c r="AC54" i="2"/>
  <c r="AD54" i="2"/>
  <c r="U55" i="2"/>
  <c r="U56" i="2" s="1"/>
  <c r="Z55" i="2"/>
  <c r="Z56" i="2" s="1"/>
  <c r="S56" i="2"/>
  <c r="T56" i="2"/>
  <c r="X56" i="2"/>
  <c r="Y56" i="2"/>
  <c r="AC56" i="2"/>
  <c r="AD56" i="2"/>
  <c r="Q57" i="2"/>
  <c r="V57" i="2"/>
  <c r="W57" i="2"/>
  <c r="X57" i="2"/>
  <c r="Y57" i="2"/>
  <c r="AA57" i="2"/>
  <c r="AB57" i="2"/>
  <c r="AC57" i="2"/>
  <c r="AD57" i="2"/>
  <c r="U58" i="2"/>
  <c r="Z58" i="2"/>
  <c r="AB59" i="2" s="1"/>
  <c r="S59" i="2"/>
  <c r="T59" i="2"/>
  <c r="X59" i="2"/>
  <c r="Y59" i="2"/>
  <c r="AC59" i="2"/>
  <c r="AD59" i="2"/>
  <c r="Q60" i="2"/>
  <c r="V60" i="2"/>
  <c r="W60" i="2"/>
  <c r="X60" i="2"/>
  <c r="Y60" i="2"/>
  <c r="AA60" i="2"/>
  <c r="AB60" i="2"/>
  <c r="AC60" i="2"/>
  <c r="AD60" i="2"/>
  <c r="U61" i="2"/>
  <c r="U62" i="2" s="1"/>
  <c r="Z61" i="2"/>
  <c r="S62" i="2"/>
  <c r="T62" i="2"/>
  <c r="X62" i="2"/>
  <c r="Y62" i="2"/>
  <c r="AC62" i="2"/>
  <c r="AD62" i="2"/>
  <c r="Q63" i="2"/>
  <c r="V63" i="2"/>
  <c r="W63" i="2"/>
  <c r="X63" i="2"/>
  <c r="Y63" i="2"/>
  <c r="AA63" i="2"/>
  <c r="AB63" i="2"/>
  <c r="AC63" i="2"/>
  <c r="AD63" i="2"/>
  <c r="U64" i="2"/>
  <c r="Z64" i="2"/>
  <c r="Z65" i="2" s="1"/>
  <c r="S65" i="2"/>
  <c r="T65" i="2"/>
  <c r="X65" i="2"/>
  <c r="Y65" i="2"/>
  <c r="AC65" i="2"/>
  <c r="AD65" i="2"/>
  <c r="Q66" i="2"/>
  <c r="V66" i="2"/>
  <c r="W66" i="2"/>
  <c r="X66" i="2"/>
  <c r="Y66" i="2"/>
  <c r="AA66" i="2"/>
  <c r="AB66" i="2"/>
  <c r="AC66" i="2"/>
  <c r="AD66" i="2"/>
  <c r="U67" i="2"/>
  <c r="Z67" i="2"/>
  <c r="Z68" i="2" s="1"/>
  <c r="S68" i="2"/>
  <c r="T68" i="2"/>
  <c r="X68" i="2"/>
  <c r="Y68" i="2"/>
  <c r="AC68" i="2"/>
  <c r="AD68" i="2"/>
  <c r="Q69" i="2"/>
  <c r="V69" i="2"/>
  <c r="W69" i="2"/>
  <c r="X69" i="2"/>
  <c r="Y69" i="2"/>
  <c r="AA69" i="2"/>
  <c r="AB69" i="2"/>
  <c r="AC69" i="2"/>
  <c r="AD69" i="2"/>
  <c r="U70" i="2"/>
  <c r="W71" i="2" s="1"/>
  <c r="Z70" i="2"/>
  <c r="AB71" i="2" s="1"/>
  <c r="S71" i="2"/>
  <c r="T71" i="2"/>
  <c r="X71" i="2"/>
  <c r="Y71" i="2"/>
  <c r="AC71" i="2"/>
  <c r="AD71" i="2"/>
  <c r="Q72" i="2"/>
  <c r="V72" i="2"/>
  <c r="W72" i="2"/>
  <c r="X72" i="2"/>
  <c r="Y72" i="2"/>
  <c r="AA72" i="2"/>
  <c r="AB72" i="2"/>
  <c r="AC72" i="2"/>
  <c r="AD72" i="2"/>
  <c r="D176" i="2"/>
  <c r="E176" i="2"/>
  <c r="K181" i="2"/>
  <c r="P181" i="2"/>
  <c r="R182" i="2" s="1"/>
  <c r="U181" i="2"/>
  <c r="W182" i="2" s="1"/>
  <c r="Z181" i="2"/>
  <c r="Z182" i="2" s="1"/>
  <c r="I182" i="2"/>
  <c r="J182" i="2"/>
  <c r="N182" i="2"/>
  <c r="O182" i="2"/>
  <c r="S182" i="2"/>
  <c r="T182" i="2"/>
  <c r="X182" i="2"/>
  <c r="Y182" i="2"/>
  <c r="AC182" i="2"/>
  <c r="AD182" i="2"/>
  <c r="L183" i="2"/>
  <c r="M183" i="2"/>
  <c r="N183" i="2"/>
  <c r="O183" i="2"/>
  <c r="Q183" i="2"/>
  <c r="R183" i="2"/>
  <c r="S183" i="2"/>
  <c r="T183" i="2"/>
  <c r="V183" i="2"/>
  <c r="W183" i="2"/>
  <c r="X183" i="2"/>
  <c r="Y183" i="2"/>
  <c r="AA183" i="2"/>
  <c r="AB183" i="2"/>
  <c r="AC183" i="2"/>
  <c r="AD183" i="2"/>
  <c r="K178" i="2"/>
  <c r="K179" i="2" s="1"/>
  <c r="P178" i="2"/>
  <c r="U178" i="2"/>
  <c r="W179" i="2" s="1"/>
  <c r="Z178" i="2"/>
  <c r="AB179" i="2" s="1"/>
  <c r="I179" i="2"/>
  <c r="J179" i="2"/>
  <c r="N179" i="2"/>
  <c r="O179" i="2"/>
  <c r="S179" i="2"/>
  <c r="T179" i="2"/>
  <c r="X179" i="2"/>
  <c r="Y179" i="2"/>
  <c r="AC179" i="2"/>
  <c r="AD179" i="2"/>
  <c r="L180" i="2"/>
  <c r="M180" i="2"/>
  <c r="N180" i="2"/>
  <c r="O180" i="2"/>
  <c r="Q180" i="2"/>
  <c r="R180" i="2"/>
  <c r="S180" i="2"/>
  <c r="T180" i="2"/>
  <c r="V180" i="2"/>
  <c r="W180" i="2"/>
  <c r="X180" i="2"/>
  <c r="Y180" i="2"/>
  <c r="AA180" i="2"/>
  <c r="AB180" i="2"/>
  <c r="AC180" i="2"/>
  <c r="AD180" i="2"/>
  <c r="K184" i="2"/>
  <c r="P184" i="2"/>
  <c r="R185" i="2" s="1"/>
  <c r="U184" i="2"/>
  <c r="U185" i="2" s="1"/>
  <c r="Z184" i="2"/>
  <c r="Z185" i="2" s="1"/>
  <c r="I185" i="2"/>
  <c r="J185" i="2"/>
  <c r="N185" i="2"/>
  <c r="O185" i="2"/>
  <c r="S185" i="2"/>
  <c r="T185" i="2"/>
  <c r="X185" i="2"/>
  <c r="Y185" i="2"/>
  <c r="AC185" i="2"/>
  <c r="AD185" i="2"/>
  <c r="L186" i="2"/>
  <c r="M186" i="2"/>
  <c r="N186" i="2"/>
  <c r="O186" i="2"/>
  <c r="Q186" i="2"/>
  <c r="R186" i="2"/>
  <c r="S186" i="2"/>
  <c r="T186" i="2"/>
  <c r="V186" i="2"/>
  <c r="W186" i="2"/>
  <c r="X186" i="2"/>
  <c r="Y186" i="2"/>
  <c r="AA186" i="2"/>
  <c r="AB186" i="2"/>
  <c r="AC186" i="2"/>
  <c r="AD186" i="2"/>
  <c r="K190" i="2"/>
  <c r="K191" i="2" s="1"/>
  <c r="P190" i="2"/>
  <c r="U190" i="2"/>
  <c r="Z190" i="2"/>
  <c r="I191" i="2"/>
  <c r="J191" i="2"/>
  <c r="N191" i="2"/>
  <c r="O191" i="2"/>
  <c r="S191" i="2"/>
  <c r="T191" i="2"/>
  <c r="X191" i="2"/>
  <c r="Y191" i="2"/>
  <c r="AC191" i="2"/>
  <c r="AD191" i="2"/>
  <c r="G192" i="2"/>
  <c r="L192" i="2"/>
  <c r="M192" i="2"/>
  <c r="N192" i="2"/>
  <c r="O192" i="2"/>
  <c r="Q192" i="2"/>
  <c r="R192" i="2"/>
  <c r="S192" i="2"/>
  <c r="T192" i="2"/>
  <c r="V192" i="2"/>
  <c r="W192" i="2"/>
  <c r="X192" i="2"/>
  <c r="Y192" i="2"/>
  <c r="AA192" i="2"/>
  <c r="AB192" i="2"/>
  <c r="AC192" i="2"/>
  <c r="AD192" i="2"/>
  <c r="F208" i="2"/>
  <c r="F209" i="2" s="1"/>
  <c r="K208" i="2"/>
  <c r="P208" i="2"/>
  <c r="U208" i="2"/>
  <c r="W209" i="2" s="1"/>
  <c r="Z208" i="2"/>
  <c r="AB209" i="2" s="1"/>
  <c r="D209" i="2"/>
  <c r="E209" i="2"/>
  <c r="I209" i="2"/>
  <c r="J209" i="2"/>
  <c r="N209" i="2"/>
  <c r="O209" i="2"/>
  <c r="S209" i="2"/>
  <c r="T209" i="2"/>
  <c r="X209" i="2"/>
  <c r="Y209" i="2"/>
  <c r="AC209" i="2"/>
  <c r="AD209" i="2"/>
  <c r="G210" i="2"/>
  <c r="H210" i="2"/>
  <c r="I210" i="2"/>
  <c r="J210" i="2"/>
  <c r="L210" i="2"/>
  <c r="M210" i="2"/>
  <c r="N210" i="2"/>
  <c r="O210" i="2"/>
  <c r="Q210" i="2"/>
  <c r="R210" i="2"/>
  <c r="S210" i="2"/>
  <c r="T210" i="2"/>
  <c r="V210" i="2"/>
  <c r="W210" i="2"/>
  <c r="X210" i="2"/>
  <c r="Y210" i="2"/>
  <c r="AA210" i="2"/>
  <c r="AB210" i="2"/>
  <c r="AC210" i="2"/>
  <c r="AD210" i="2"/>
  <c r="B217" i="2"/>
  <c r="C217" i="2"/>
  <c r="C276" i="2" s="1"/>
  <c r="D217" i="2"/>
  <c r="E217" i="2"/>
  <c r="J219" i="2" s="1"/>
  <c r="G217" i="2"/>
  <c r="H217" i="2"/>
  <c r="H219" i="2" s="1"/>
  <c r="I217" i="2"/>
  <c r="L217" i="2"/>
  <c r="M217" i="2"/>
  <c r="N217" i="2"/>
  <c r="O217" i="2"/>
  <c r="Q217" i="2"/>
  <c r="Q276" i="2" s="1"/>
  <c r="R217" i="2"/>
  <c r="T217" i="2"/>
  <c r="W217" i="2"/>
  <c r="X217" i="2"/>
  <c r="X219" i="2" s="1"/>
  <c r="Y217" i="2"/>
  <c r="AD219" i="2" s="1"/>
  <c r="AA217" i="2"/>
  <c r="AF219" i="2" s="1"/>
  <c r="F199" i="2"/>
  <c r="K199" i="2"/>
  <c r="P199" i="2"/>
  <c r="U199" i="2"/>
  <c r="U200" i="2" s="1"/>
  <c r="Z199" i="2"/>
  <c r="D200" i="2"/>
  <c r="E200" i="2"/>
  <c r="I200" i="2"/>
  <c r="J200" i="2"/>
  <c r="N200" i="2"/>
  <c r="O200" i="2"/>
  <c r="S200" i="2"/>
  <c r="T200" i="2"/>
  <c r="X200" i="2"/>
  <c r="Y200" i="2"/>
  <c r="AC200" i="2"/>
  <c r="AD200" i="2"/>
  <c r="G201" i="2"/>
  <c r="H201" i="2"/>
  <c r="I201" i="2"/>
  <c r="J201" i="2"/>
  <c r="L201" i="2"/>
  <c r="M201" i="2"/>
  <c r="N201" i="2"/>
  <c r="O201" i="2"/>
  <c r="Q201" i="2"/>
  <c r="R201" i="2"/>
  <c r="S201" i="2"/>
  <c r="T201" i="2"/>
  <c r="V201" i="2"/>
  <c r="W201" i="2"/>
  <c r="X201" i="2"/>
  <c r="Y201" i="2"/>
  <c r="AA201" i="2"/>
  <c r="AB201" i="2"/>
  <c r="AC201" i="2"/>
  <c r="AD201" i="2"/>
  <c r="K202" i="2"/>
  <c r="K203" i="2" s="1"/>
  <c r="P202" i="2"/>
  <c r="U202" i="2"/>
  <c r="U203" i="2" s="1"/>
  <c r="Z202" i="2"/>
  <c r="I203" i="2"/>
  <c r="J203" i="2"/>
  <c r="N203" i="2"/>
  <c r="O203" i="2"/>
  <c r="S203" i="2"/>
  <c r="T203" i="2"/>
  <c r="X203" i="2"/>
  <c r="Y203" i="2"/>
  <c r="AC203" i="2"/>
  <c r="AD203" i="2"/>
  <c r="G204" i="2"/>
  <c r="L204" i="2"/>
  <c r="M204" i="2"/>
  <c r="N204" i="2"/>
  <c r="O204" i="2"/>
  <c r="Q204" i="2"/>
  <c r="R204" i="2"/>
  <c r="S204" i="2"/>
  <c r="T204" i="2"/>
  <c r="V204" i="2"/>
  <c r="W204" i="2"/>
  <c r="X204" i="2"/>
  <c r="Y204" i="2"/>
  <c r="AA204" i="2"/>
  <c r="AB204" i="2"/>
  <c r="AC204" i="2"/>
  <c r="AD204" i="2"/>
  <c r="K205" i="2"/>
  <c r="P205" i="2"/>
  <c r="P206" i="2" s="1"/>
  <c r="U205" i="2"/>
  <c r="Z205" i="2"/>
  <c r="AB206" i="2" s="1"/>
  <c r="N206" i="2"/>
  <c r="O206" i="2"/>
  <c r="T206" i="2"/>
  <c r="AC206" i="2"/>
  <c r="AD206" i="2"/>
  <c r="G207" i="2"/>
  <c r="M207" i="2"/>
  <c r="O207" i="2"/>
  <c r="S207" i="2"/>
  <c r="T207" i="2"/>
  <c r="Y207" i="2"/>
  <c r="AB207" i="2"/>
  <c r="AD207" i="2"/>
  <c r="K211" i="2"/>
  <c r="P211" i="2"/>
  <c r="U211" i="2"/>
  <c r="U212" i="2" s="1"/>
  <c r="Z211" i="2"/>
  <c r="I212" i="2"/>
  <c r="O212" i="2"/>
  <c r="S212" i="2"/>
  <c r="T212" i="2"/>
  <c r="X212" i="2"/>
  <c r="Y212" i="2"/>
  <c r="AC212" i="2"/>
  <c r="AD212" i="2"/>
  <c r="G213" i="2"/>
  <c r="M213" i="2"/>
  <c r="N213" i="2"/>
  <c r="O213" i="2"/>
  <c r="S213" i="2"/>
  <c r="T213" i="2"/>
  <c r="V213" i="2"/>
  <c r="W213" i="2"/>
  <c r="X213" i="2"/>
  <c r="Y213" i="2"/>
  <c r="AA213" i="2"/>
  <c r="AB213" i="2"/>
  <c r="AC213" i="2"/>
  <c r="AD213" i="2"/>
  <c r="B223" i="2"/>
  <c r="C223" i="2"/>
  <c r="C277" i="2" s="1"/>
  <c r="D223" i="2"/>
  <c r="E223" i="2"/>
  <c r="G223" i="2"/>
  <c r="H223" i="2"/>
  <c r="I223" i="2"/>
  <c r="J223" i="2"/>
  <c r="L223" i="2"/>
  <c r="L220" i="2" s="1"/>
  <c r="M223" i="2"/>
  <c r="N223" i="2"/>
  <c r="O223" i="2"/>
  <c r="Q223" i="2"/>
  <c r="Q220" i="2" s="1"/>
  <c r="R223" i="2"/>
  <c r="S223" i="2"/>
  <c r="T223" i="2"/>
  <c r="V223" i="2"/>
  <c r="V225" i="2" s="1"/>
  <c r="W223" i="2"/>
  <c r="X223" i="2"/>
  <c r="Y223" i="2"/>
  <c r="AA223" i="2"/>
  <c r="AA220" i="2" s="1"/>
  <c r="AB223" i="2"/>
  <c r="AB220" i="2" s="1"/>
  <c r="AC223" i="2"/>
  <c r="AD223" i="2"/>
  <c r="K228" i="2"/>
  <c r="M229" i="2" s="1"/>
  <c r="P228" i="2"/>
  <c r="R228" i="2"/>
  <c r="Z228" i="2"/>
  <c r="I229" i="2"/>
  <c r="J229" i="2"/>
  <c r="N229" i="2"/>
  <c r="O229" i="2"/>
  <c r="T229" i="2"/>
  <c r="X229" i="2"/>
  <c r="Y229" i="2"/>
  <c r="AC229" i="2"/>
  <c r="AD229" i="2"/>
  <c r="G230" i="2"/>
  <c r="L230" i="2"/>
  <c r="M230" i="2"/>
  <c r="N230" i="2"/>
  <c r="O230" i="2"/>
  <c r="Q230" i="2"/>
  <c r="S230" i="2"/>
  <c r="T230" i="2"/>
  <c r="V230" i="2"/>
  <c r="X230" i="2"/>
  <c r="Y230" i="2"/>
  <c r="AA230" i="2"/>
  <c r="AB230" i="2"/>
  <c r="AC230" i="2"/>
  <c r="AD230" i="2"/>
  <c r="G231" i="2"/>
  <c r="G233" i="2" s="1"/>
  <c r="K231" i="2"/>
  <c r="M232" i="2" s="1"/>
  <c r="Q231" i="2"/>
  <c r="U231" i="2"/>
  <c r="AA231" i="2"/>
  <c r="AA233" i="2" s="1"/>
  <c r="D232" i="2"/>
  <c r="E232" i="2"/>
  <c r="I232" i="2"/>
  <c r="J232" i="2"/>
  <c r="N232" i="2"/>
  <c r="O232" i="2"/>
  <c r="P232" i="2"/>
  <c r="R232" i="2"/>
  <c r="S232" i="2"/>
  <c r="T232" i="2"/>
  <c r="X232" i="2"/>
  <c r="Y232" i="2"/>
  <c r="Z232" i="2"/>
  <c r="AB232" i="2"/>
  <c r="AC232" i="2"/>
  <c r="AD232" i="2"/>
  <c r="H233" i="2"/>
  <c r="I233" i="2"/>
  <c r="J233" i="2"/>
  <c r="M233" i="2"/>
  <c r="N233" i="2"/>
  <c r="O233" i="2"/>
  <c r="R233" i="2"/>
  <c r="S233" i="2"/>
  <c r="T233" i="2"/>
  <c r="W233" i="2"/>
  <c r="X233" i="2"/>
  <c r="Y233" i="2"/>
  <c r="AB233" i="2"/>
  <c r="AC233" i="2"/>
  <c r="AD233" i="2"/>
  <c r="D235" i="2"/>
  <c r="E235" i="2"/>
  <c r="J236" i="2"/>
  <c r="E237" i="2"/>
  <c r="E238" i="2" s="1"/>
  <c r="J237" i="2"/>
  <c r="S237" i="2"/>
  <c r="D238" i="2"/>
  <c r="C275" i="2"/>
  <c r="D275" i="2"/>
  <c r="E275" i="2"/>
  <c r="Q275" i="2"/>
  <c r="S275" i="2"/>
  <c r="S276" i="2"/>
  <c r="U250" i="2"/>
  <c r="U251" i="2" s="1"/>
  <c r="Z250" i="2"/>
  <c r="Z251" i="2" s="1"/>
  <c r="AB250" i="2"/>
  <c r="AB252" i="2" s="1"/>
  <c r="AC250" i="2"/>
  <c r="AD250" i="2"/>
  <c r="S251" i="2"/>
  <c r="T251" i="2"/>
  <c r="X251" i="2"/>
  <c r="Y251" i="2"/>
  <c r="G252" i="2"/>
  <c r="L252" i="2"/>
  <c r="Q252" i="2"/>
  <c r="V252" i="2"/>
  <c r="W252" i="2"/>
  <c r="X252" i="2"/>
  <c r="Y252" i="2"/>
  <c r="AA252" i="2"/>
  <c r="U256" i="2"/>
  <c r="U257" i="2" s="1"/>
  <c r="Z256" i="2"/>
  <c r="S257" i="2"/>
  <c r="T257" i="2"/>
  <c r="X257" i="2"/>
  <c r="Y257" i="2"/>
  <c r="AC257" i="2"/>
  <c r="AD257" i="2"/>
  <c r="Q258" i="2"/>
  <c r="V258" i="2"/>
  <c r="W258" i="2"/>
  <c r="X258" i="2"/>
  <c r="Y258" i="2"/>
  <c r="AA258" i="2"/>
  <c r="AB258" i="2"/>
  <c r="AC258" i="2"/>
  <c r="AD258" i="2"/>
  <c r="U259" i="2"/>
  <c r="W260" i="2" s="1"/>
  <c r="Z259" i="2"/>
  <c r="S260" i="2"/>
  <c r="T260" i="2"/>
  <c r="X260" i="2"/>
  <c r="Y260" i="2"/>
  <c r="AC260" i="2"/>
  <c r="AD260" i="2"/>
  <c r="Q261" i="2"/>
  <c r="V261" i="2"/>
  <c r="W261" i="2"/>
  <c r="X261" i="2"/>
  <c r="Y261" i="2"/>
  <c r="AA261" i="2"/>
  <c r="AB261" i="2"/>
  <c r="AC261" i="2"/>
  <c r="AD261" i="2"/>
  <c r="U262" i="2"/>
  <c r="W263" i="2" s="1"/>
  <c r="Z262" i="2"/>
  <c r="Z263" i="2" s="1"/>
  <c r="S263" i="2"/>
  <c r="T263" i="2"/>
  <c r="X263" i="2"/>
  <c r="Y263" i="2"/>
  <c r="AC263" i="2"/>
  <c r="AD263" i="2"/>
  <c r="Q264" i="2"/>
  <c r="V264" i="2"/>
  <c r="W264" i="2"/>
  <c r="X264" i="2"/>
  <c r="Y264" i="2"/>
  <c r="AA264" i="2"/>
  <c r="AB264" i="2"/>
  <c r="AC264" i="2"/>
  <c r="AD264" i="2"/>
  <c r="U253" i="2"/>
  <c r="Z253" i="2"/>
  <c r="S254" i="2"/>
  <c r="T254" i="2"/>
  <c r="X254" i="2"/>
  <c r="Y254" i="2"/>
  <c r="AC254" i="2"/>
  <c r="AD254" i="2"/>
  <c r="Q255" i="2"/>
  <c r="V255" i="2"/>
  <c r="W255" i="2"/>
  <c r="X255" i="2"/>
  <c r="Y255" i="2"/>
  <c r="AA255" i="2"/>
  <c r="AB255" i="2"/>
  <c r="AC255" i="2"/>
  <c r="AD255" i="2"/>
  <c r="U265" i="2"/>
  <c r="Z265" i="2"/>
  <c r="S266" i="2"/>
  <c r="T266" i="2"/>
  <c r="X266" i="2"/>
  <c r="Y266" i="2"/>
  <c r="AC266" i="2"/>
  <c r="AD266" i="2"/>
  <c r="Q267" i="2"/>
  <c r="V267" i="2"/>
  <c r="W267" i="2"/>
  <c r="X267" i="2"/>
  <c r="Y267" i="2"/>
  <c r="AA267" i="2"/>
  <c r="AB267" i="2"/>
  <c r="AC267" i="2"/>
  <c r="AD267" i="2"/>
  <c r="U268" i="2"/>
  <c r="U269" i="2" s="1"/>
  <c r="Z268" i="2"/>
  <c r="S269" i="2"/>
  <c r="T269" i="2"/>
  <c r="X269" i="2"/>
  <c r="Y269" i="2"/>
  <c r="AC269" i="2"/>
  <c r="AD269" i="2"/>
  <c r="Q270" i="2"/>
  <c r="V270" i="2"/>
  <c r="W270" i="2"/>
  <c r="X270" i="2"/>
  <c r="Y270" i="2"/>
  <c r="AA270" i="2"/>
  <c r="AB270" i="2"/>
  <c r="AC270" i="2"/>
  <c r="AD270" i="2"/>
  <c r="U271" i="2"/>
  <c r="W272" i="2" s="1"/>
  <c r="Z271" i="2"/>
  <c r="AB272" i="2" s="1"/>
  <c r="S272" i="2"/>
  <c r="T272" i="2"/>
  <c r="X272" i="2"/>
  <c r="Y272" i="2"/>
  <c r="AC272" i="2"/>
  <c r="AD272" i="2"/>
  <c r="Q273" i="2"/>
  <c r="V273" i="2"/>
  <c r="W273" i="2"/>
  <c r="X273" i="2"/>
  <c r="Y273" i="2"/>
  <c r="AA273" i="2"/>
  <c r="AB273" i="2"/>
  <c r="AC273" i="2"/>
  <c r="AD273" i="2"/>
  <c r="D283" i="2"/>
  <c r="E283" i="2"/>
  <c r="X284" i="2"/>
  <c r="K285" i="2"/>
  <c r="P285" i="2"/>
  <c r="U285" i="2"/>
  <c r="U286" i="2" s="1"/>
  <c r="Z285" i="2"/>
  <c r="I286" i="2"/>
  <c r="J286" i="2"/>
  <c r="N286" i="2"/>
  <c r="O286" i="2"/>
  <c r="S286" i="2"/>
  <c r="T286" i="2"/>
  <c r="X286" i="2"/>
  <c r="Y286" i="2"/>
  <c r="AC286" i="2"/>
  <c r="AD286" i="2"/>
  <c r="G287" i="2"/>
  <c r="L287" i="2"/>
  <c r="M287" i="2"/>
  <c r="N287" i="2"/>
  <c r="O287" i="2"/>
  <c r="Q287" i="2"/>
  <c r="R287" i="2"/>
  <c r="S287" i="2"/>
  <c r="T287" i="2"/>
  <c r="V287" i="2"/>
  <c r="W287" i="2"/>
  <c r="X287" i="2"/>
  <c r="Y287" i="2"/>
  <c r="AA287" i="2"/>
  <c r="AB287" i="2"/>
  <c r="AC287" i="2"/>
  <c r="AD287" i="2"/>
  <c r="K288" i="2"/>
  <c r="P288" i="2"/>
  <c r="R289" i="2" s="1"/>
  <c r="U288" i="2"/>
  <c r="Z288" i="2"/>
  <c r="I289" i="2"/>
  <c r="J289" i="2"/>
  <c r="N289" i="2"/>
  <c r="O289" i="2"/>
  <c r="S289" i="2"/>
  <c r="T289" i="2"/>
  <c r="X289" i="2"/>
  <c r="Y289" i="2"/>
  <c r="AC289" i="2"/>
  <c r="AD289" i="2"/>
  <c r="G290" i="2"/>
  <c r="L290" i="2"/>
  <c r="M290" i="2"/>
  <c r="N290" i="2"/>
  <c r="O290" i="2"/>
  <c r="Q290" i="2"/>
  <c r="R290" i="2"/>
  <c r="S290" i="2"/>
  <c r="T290" i="2"/>
  <c r="V290" i="2"/>
  <c r="W290" i="2"/>
  <c r="X290" i="2"/>
  <c r="Y290" i="2"/>
  <c r="AA290" i="2"/>
  <c r="AB290" i="2"/>
  <c r="AC290" i="2"/>
  <c r="AD290" i="2"/>
  <c r="K300" i="2"/>
  <c r="P300" i="2"/>
  <c r="P301" i="2" s="1"/>
  <c r="U300" i="2"/>
  <c r="U301" i="2" s="1"/>
  <c r="Z300" i="2"/>
  <c r="I301" i="2"/>
  <c r="J301" i="2"/>
  <c r="N301" i="2"/>
  <c r="O301" i="2"/>
  <c r="S301" i="2"/>
  <c r="T301" i="2"/>
  <c r="X301" i="2"/>
  <c r="Y301" i="2"/>
  <c r="G302" i="2"/>
  <c r="L302" i="2"/>
  <c r="M302" i="2"/>
  <c r="N302" i="2"/>
  <c r="O302" i="2"/>
  <c r="Q302" i="2"/>
  <c r="R302" i="2"/>
  <c r="S302" i="2"/>
  <c r="T302" i="2"/>
  <c r="V302" i="2"/>
  <c r="W302" i="2"/>
  <c r="X302" i="2"/>
  <c r="Y302" i="2"/>
  <c r="AA302" i="2"/>
  <c r="F317" i="2"/>
  <c r="H318" i="2" s="1"/>
  <c r="K317" i="2"/>
  <c r="P317" i="2"/>
  <c r="R318" i="2" s="1"/>
  <c r="U317" i="2"/>
  <c r="W318" i="2" s="1"/>
  <c r="Z317" i="2"/>
  <c r="Z318" i="2" s="1"/>
  <c r="D318" i="2"/>
  <c r="E318" i="2"/>
  <c r="I318" i="2"/>
  <c r="J318" i="2"/>
  <c r="N318" i="2"/>
  <c r="O318" i="2"/>
  <c r="S318" i="2"/>
  <c r="T318" i="2"/>
  <c r="X318" i="2"/>
  <c r="Y318" i="2"/>
  <c r="G319" i="2"/>
  <c r="H319" i="2"/>
  <c r="I319" i="2"/>
  <c r="J319" i="2"/>
  <c r="L319" i="2"/>
  <c r="M319" i="2"/>
  <c r="N319" i="2"/>
  <c r="O319" i="2"/>
  <c r="Q319" i="2"/>
  <c r="R319" i="2"/>
  <c r="S319" i="2"/>
  <c r="T319" i="2"/>
  <c r="V319" i="2"/>
  <c r="W319" i="2"/>
  <c r="X319" i="2"/>
  <c r="Y319" i="2"/>
  <c r="AA319" i="2"/>
  <c r="F320" i="2"/>
  <c r="H321" i="2" s="1"/>
  <c r="K320" i="2"/>
  <c r="P320" i="2"/>
  <c r="P321" i="2" s="1"/>
  <c r="U320" i="2"/>
  <c r="Z320" i="2"/>
  <c r="Z321" i="2" s="1"/>
  <c r="D321" i="2"/>
  <c r="E321" i="2"/>
  <c r="I321" i="2"/>
  <c r="J321" i="2"/>
  <c r="N321" i="2"/>
  <c r="O321" i="2"/>
  <c r="S321" i="2"/>
  <c r="T321" i="2"/>
  <c r="X321" i="2"/>
  <c r="Y321" i="2"/>
  <c r="AC321" i="2"/>
  <c r="AD321" i="2"/>
  <c r="G322" i="2"/>
  <c r="H322" i="2"/>
  <c r="I322" i="2"/>
  <c r="J322" i="2"/>
  <c r="L322" i="2"/>
  <c r="M322" i="2"/>
  <c r="N322" i="2"/>
  <c r="O322" i="2"/>
  <c r="Q322" i="2"/>
  <c r="R322" i="2"/>
  <c r="S322" i="2"/>
  <c r="T322" i="2"/>
  <c r="V322" i="2"/>
  <c r="W322" i="2"/>
  <c r="X322" i="2"/>
  <c r="Y322" i="2"/>
  <c r="AA322" i="2"/>
  <c r="AB322" i="2"/>
  <c r="AC322" i="2"/>
  <c r="AD322" i="2"/>
  <c r="K297" i="2"/>
  <c r="M298" i="2" s="1"/>
  <c r="P297" i="2"/>
  <c r="U297" i="2"/>
  <c r="W298" i="2" s="1"/>
  <c r="Z297" i="2"/>
  <c r="Z298" i="2" s="1"/>
  <c r="I298" i="2"/>
  <c r="J298" i="2"/>
  <c r="N298" i="2"/>
  <c r="O298" i="2"/>
  <c r="S298" i="2"/>
  <c r="T298" i="2"/>
  <c r="X298" i="2"/>
  <c r="Y298" i="2"/>
  <c r="AC298" i="2"/>
  <c r="AD298" i="2"/>
  <c r="G299" i="2"/>
  <c r="L299" i="2"/>
  <c r="M299" i="2"/>
  <c r="N299" i="2"/>
  <c r="O299" i="2"/>
  <c r="Q299" i="2"/>
  <c r="R299" i="2"/>
  <c r="S299" i="2"/>
  <c r="T299" i="2"/>
  <c r="V299" i="2"/>
  <c r="W299" i="2"/>
  <c r="X299" i="2"/>
  <c r="Y299" i="2"/>
  <c r="AA299" i="2"/>
  <c r="AB299" i="2"/>
  <c r="AC299" i="2"/>
  <c r="AD299" i="2"/>
  <c r="K303" i="2"/>
  <c r="K304" i="2" s="1"/>
  <c r="P303" i="2"/>
  <c r="U303" i="2"/>
  <c r="U304" i="2" s="1"/>
  <c r="Z303" i="2"/>
  <c r="AB304" i="2" s="1"/>
  <c r="I304" i="2"/>
  <c r="J304" i="2"/>
  <c r="N304" i="2"/>
  <c r="O304" i="2"/>
  <c r="S304" i="2"/>
  <c r="T304" i="2"/>
  <c r="X304" i="2"/>
  <c r="Y304" i="2"/>
  <c r="AC304" i="2"/>
  <c r="AD304" i="2"/>
  <c r="G305" i="2"/>
  <c r="L305" i="2"/>
  <c r="M305" i="2"/>
  <c r="N305" i="2"/>
  <c r="O305" i="2"/>
  <c r="Q305" i="2"/>
  <c r="R305" i="2"/>
  <c r="S305" i="2"/>
  <c r="T305" i="2"/>
  <c r="V305" i="2"/>
  <c r="W305" i="2"/>
  <c r="X305" i="2"/>
  <c r="Y305" i="2"/>
  <c r="AA305" i="2"/>
  <c r="AB305" i="2"/>
  <c r="AC305" i="2"/>
  <c r="AD305" i="2"/>
  <c r="K306" i="2"/>
  <c r="M307" i="2" s="1"/>
  <c r="P306" i="2"/>
  <c r="U306" i="2"/>
  <c r="Z306" i="2"/>
  <c r="Z307" i="2" s="1"/>
  <c r="I307" i="2"/>
  <c r="J307" i="2"/>
  <c r="N307" i="2"/>
  <c r="O307" i="2"/>
  <c r="S307" i="2"/>
  <c r="T307" i="2"/>
  <c r="X307" i="2"/>
  <c r="Y307" i="2"/>
  <c r="AC307" i="2"/>
  <c r="AD307" i="2"/>
  <c r="G308" i="2"/>
  <c r="L308" i="2"/>
  <c r="M308" i="2"/>
  <c r="N308" i="2"/>
  <c r="O308" i="2"/>
  <c r="Q308" i="2"/>
  <c r="R308" i="2"/>
  <c r="S308" i="2"/>
  <c r="T308" i="2"/>
  <c r="V308" i="2"/>
  <c r="W308" i="2"/>
  <c r="X308" i="2"/>
  <c r="Y308" i="2"/>
  <c r="AA308" i="2"/>
  <c r="AB308" i="2"/>
  <c r="AC308" i="2"/>
  <c r="AD308" i="2"/>
  <c r="B314" i="2"/>
  <c r="B323" i="2" s="1"/>
  <c r="G314" i="2"/>
  <c r="G323" i="2" s="1"/>
  <c r="I314" i="2"/>
  <c r="J315" i="2" s="1"/>
  <c r="L314" i="2"/>
  <c r="M314" i="2"/>
  <c r="R316" i="2" s="1"/>
  <c r="N314" i="2"/>
  <c r="O314" i="2"/>
  <c r="T316" i="2" s="1"/>
  <c r="Q314" i="2"/>
  <c r="V314" i="2"/>
  <c r="X314" i="2"/>
  <c r="X323" i="2" s="1"/>
  <c r="AB314" i="2"/>
  <c r="AC314" i="2"/>
  <c r="AH316" i="2" s="1"/>
  <c r="D315" i="2"/>
  <c r="E315" i="2"/>
  <c r="S315" i="2"/>
  <c r="T315" i="2"/>
  <c r="H316" i="2"/>
  <c r="J316" i="2"/>
  <c r="W316" i="2"/>
  <c r="Y316" i="2"/>
  <c r="AD316" i="2"/>
  <c r="C323" i="2"/>
  <c r="C349" i="2" s="1"/>
  <c r="D323" i="2"/>
  <c r="E323" i="2"/>
  <c r="H323" i="2"/>
  <c r="J323" i="2"/>
  <c r="S323" i="2"/>
  <c r="T323" i="2"/>
  <c r="W323" i="2"/>
  <c r="W325" i="2" s="1"/>
  <c r="Y323" i="2"/>
  <c r="AA323" i="2"/>
  <c r="F328" i="2"/>
  <c r="K328" i="2"/>
  <c r="P328" i="2"/>
  <c r="U328" i="2"/>
  <c r="Z328" i="2"/>
  <c r="D329" i="2"/>
  <c r="E329" i="2"/>
  <c r="I329" i="2"/>
  <c r="J329" i="2"/>
  <c r="N329" i="2"/>
  <c r="O329" i="2"/>
  <c r="S329" i="2"/>
  <c r="T329" i="2"/>
  <c r="X329" i="2"/>
  <c r="Y329" i="2"/>
  <c r="AC329" i="2"/>
  <c r="AD329" i="2"/>
  <c r="G330" i="2"/>
  <c r="H330" i="2"/>
  <c r="I330" i="2"/>
  <c r="J330" i="2"/>
  <c r="L330" i="2"/>
  <c r="M330" i="2"/>
  <c r="N330" i="2"/>
  <c r="O330" i="2"/>
  <c r="Q330" i="2"/>
  <c r="R330" i="2"/>
  <c r="S330" i="2"/>
  <c r="T330" i="2"/>
  <c r="V330" i="2"/>
  <c r="W330" i="2"/>
  <c r="X330" i="2"/>
  <c r="Y330" i="2"/>
  <c r="AA330" i="2"/>
  <c r="AB330" i="2"/>
  <c r="AC330" i="2"/>
  <c r="AD330" i="2"/>
  <c r="B331" i="2"/>
  <c r="G331" i="2"/>
  <c r="F331" i="2" s="1"/>
  <c r="F332" i="2" s="1"/>
  <c r="K331" i="2"/>
  <c r="M332" i="2" s="1"/>
  <c r="Q331" i="2"/>
  <c r="V333" i="2" s="1"/>
  <c r="U331" i="2"/>
  <c r="AA331" i="2"/>
  <c r="AA333" i="2" s="1"/>
  <c r="D332" i="2"/>
  <c r="E332" i="2"/>
  <c r="I332" i="2"/>
  <c r="J332" i="2"/>
  <c r="N332" i="2"/>
  <c r="O332" i="2"/>
  <c r="P332" i="2"/>
  <c r="R332" i="2"/>
  <c r="S332" i="2"/>
  <c r="T332" i="2"/>
  <c r="X332" i="2"/>
  <c r="Y332" i="2"/>
  <c r="AC332" i="2"/>
  <c r="AD332" i="2"/>
  <c r="H333" i="2"/>
  <c r="I333" i="2"/>
  <c r="J333" i="2"/>
  <c r="M333" i="2"/>
  <c r="N333" i="2"/>
  <c r="O333" i="2"/>
  <c r="R333" i="2"/>
  <c r="S333" i="2"/>
  <c r="T333" i="2"/>
  <c r="W333" i="2"/>
  <c r="X333" i="2"/>
  <c r="Y333" i="2"/>
  <c r="AB333" i="2"/>
  <c r="AC333" i="2"/>
  <c r="AD333" i="2"/>
  <c r="S335" i="2"/>
  <c r="H336" i="2"/>
  <c r="J336" i="2"/>
  <c r="W336" i="2"/>
  <c r="AB336" i="2"/>
  <c r="AD336" i="2"/>
  <c r="C337" i="2"/>
  <c r="R337" i="2"/>
  <c r="W337" i="2"/>
  <c r="W342" i="2" s="1"/>
  <c r="Y337" i="2"/>
  <c r="AD339" i="2" s="1"/>
  <c r="AA337" i="2"/>
  <c r="AB337" i="2"/>
  <c r="J339" i="2"/>
  <c r="E342" i="2"/>
  <c r="H342" i="2"/>
  <c r="J342" i="2"/>
  <c r="S342" i="2"/>
  <c r="S346" i="2"/>
  <c r="V346" i="2"/>
  <c r="X346" i="2"/>
  <c r="C347" i="2"/>
  <c r="D347" i="2"/>
  <c r="E347" i="2"/>
  <c r="S347" i="2"/>
  <c r="V347" i="2"/>
  <c r="X347" i="2"/>
  <c r="C348" i="2"/>
  <c r="D348" i="2"/>
  <c r="E348" i="2"/>
  <c r="S348" i="2"/>
  <c r="V348" i="2"/>
  <c r="X348" i="2"/>
  <c r="D355" i="2"/>
  <c r="E355" i="2"/>
  <c r="I355" i="2"/>
  <c r="J355" i="2"/>
  <c r="N355" i="2"/>
  <c r="O355" i="2"/>
  <c r="S355" i="2"/>
  <c r="T355" i="2"/>
  <c r="X355" i="2"/>
  <c r="Y355" i="2"/>
  <c r="AC355" i="2"/>
  <c r="AD355" i="2"/>
  <c r="G356" i="2"/>
  <c r="H356" i="2"/>
  <c r="I356" i="2"/>
  <c r="J356" i="2"/>
  <c r="L356" i="2"/>
  <c r="M356" i="2"/>
  <c r="N356" i="2"/>
  <c r="O356" i="2"/>
  <c r="Q356" i="2"/>
  <c r="R356" i="2"/>
  <c r="S356" i="2"/>
  <c r="T356" i="2"/>
  <c r="V356" i="2"/>
  <c r="W356" i="2"/>
  <c r="X356" i="2"/>
  <c r="Y356" i="2"/>
  <c r="AA356" i="2"/>
  <c r="AB356" i="2"/>
  <c r="AC356" i="2"/>
  <c r="AD356" i="2"/>
  <c r="K371" i="2"/>
  <c r="P371" i="2"/>
  <c r="U371" i="2"/>
  <c r="U372" i="2" s="1"/>
  <c r="Z371" i="2"/>
  <c r="AB372" i="2" s="1"/>
  <c r="AE371" i="2"/>
  <c r="I372" i="2"/>
  <c r="J372" i="2"/>
  <c r="N372" i="2"/>
  <c r="O372" i="2"/>
  <c r="S372" i="2"/>
  <c r="T372" i="2"/>
  <c r="X372" i="2"/>
  <c r="Y372" i="2"/>
  <c r="AC372" i="2"/>
  <c r="G373" i="2"/>
  <c r="L373" i="2"/>
  <c r="M373" i="2"/>
  <c r="N373" i="2"/>
  <c r="O373" i="2"/>
  <c r="Q373" i="2"/>
  <c r="R373" i="2"/>
  <c r="S373" i="2"/>
  <c r="T373" i="2"/>
  <c r="V373" i="2"/>
  <c r="W373" i="2"/>
  <c r="X373" i="2"/>
  <c r="Y373" i="2"/>
  <c r="AA373" i="2"/>
  <c r="AB373" i="2"/>
  <c r="AD373" i="2"/>
  <c r="F387" i="2"/>
  <c r="H388" i="2" s="1"/>
  <c r="K387" i="2"/>
  <c r="P387" i="2"/>
  <c r="U387" i="2"/>
  <c r="W388" i="2" s="1"/>
  <c r="Z387" i="2"/>
  <c r="D388" i="2"/>
  <c r="E388" i="2"/>
  <c r="I388" i="2"/>
  <c r="J388" i="2"/>
  <c r="N388" i="2"/>
  <c r="O388" i="2"/>
  <c r="S388" i="2"/>
  <c r="T388" i="2"/>
  <c r="X388" i="2"/>
  <c r="Y388" i="2"/>
  <c r="G389" i="2"/>
  <c r="H389" i="2"/>
  <c r="I389" i="2"/>
  <c r="J389" i="2"/>
  <c r="L389" i="2"/>
  <c r="M389" i="2"/>
  <c r="N389" i="2"/>
  <c r="O389" i="2"/>
  <c r="Q389" i="2"/>
  <c r="R389" i="2"/>
  <c r="S389" i="2"/>
  <c r="T389" i="2"/>
  <c r="V389" i="2"/>
  <c r="W389" i="2"/>
  <c r="X389" i="2"/>
  <c r="Y389" i="2"/>
  <c r="AA389" i="2"/>
  <c r="AB389" i="2"/>
  <c r="AD389" i="2"/>
  <c r="F390" i="2"/>
  <c r="H391" i="2" s="1"/>
  <c r="K390" i="2"/>
  <c r="P390" i="2"/>
  <c r="R391" i="2" s="1"/>
  <c r="U390" i="2"/>
  <c r="Z390" i="2"/>
  <c r="D391" i="2"/>
  <c r="E391" i="2"/>
  <c r="I391" i="2"/>
  <c r="J391" i="2"/>
  <c r="N391" i="2"/>
  <c r="O391" i="2"/>
  <c r="S391" i="2"/>
  <c r="T391" i="2"/>
  <c r="X391" i="2"/>
  <c r="Y391" i="2"/>
  <c r="AC391" i="2"/>
  <c r="AD391" i="2"/>
  <c r="G392" i="2"/>
  <c r="H392" i="2"/>
  <c r="I392" i="2"/>
  <c r="J392" i="2"/>
  <c r="L392" i="2"/>
  <c r="M392" i="2"/>
  <c r="N392" i="2"/>
  <c r="O392" i="2"/>
  <c r="Q392" i="2"/>
  <c r="R392" i="2"/>
  <c r="S392" i="2"/>
  <c r="T392" i="2"/>
  <c r="V392" i="2"/>
  <c r="W392" i="2"/>
  <c r="X392" i="2"/>
  <c r="Y392" i="2"/>
  <c r="AA392" i="2"/>
  <c r="AB392" i="2"/>
  <c r="AC392" i="2"/>
  <c r="AD392" i="2"/>
  <c r="K368" i="2"/>
  <c r="P368" i="2"/>
  <c r="P369" i="2" s="1"/>
  <c r="U368" i="2"/>
  <c r="W369" i="2" s="1"/>
  <c r="Z368" i="2"/>
  <c r="AB369" i="2" s="1"/>
  <c r="I369" i="2"/>
  <c r="J369" i="2"/>
  <c r="N369" i="2"/>
  <c r="O369" i="2"/>
  <c r="S369" i="2"/>
  <c r="T369" i="2"/>
  <c r="X369" i="2"/>
  <c r="Y369" i="2"/>
  <c r="AC369" i="2"/>
  <c r="AD369" i="2"/>
  <c r="G370" i="2"/>
  <c r="L370" i="2"/>
  <c r="M370" i="2"/>
  <c r="N370" i="2"/>
  <c r="O370" i="2"/>
  <c r="Q370" i="2"/>
  <c r="R370" i="2"/>
  <c r="S370" i="2"/>
  <c r="T370" i="2"/>
  <c r="V370" i="2"/>
  <c r="W370" i="2"/>
  <c r="X370" i="2"/>
  <c r="Y370" i="2"/>
  <c r="AA370" i="2"/>
  <c r="AB370" i="2"/>
  <c r="AC370" i="2"/>
  <c r="AD370" i="2"/>
  <c r="K374" i="2"/>
  <c r="M375" i="2" s="1"/>
  <c r="P374" i="2"/>
  <c r="U374" i="2"/>
  <c r="W375" i="2" s="1"/>
  <c r="Z374" i="2"/>
  <c r="I375" i="2"/>
  <c r="J375" i="2"/>
  <c r="N375" i="2"/>
  <c r="O375" i="2"/>
  <c r="S375" i="2"/>
  <c r="T375" i="2"/>
  <c r="X375" i="2"/>
  <c r="Y375" i="2"/>
  <c r="AC375" i="2"/>
  <c r="AD375" i="2"/>
  <c r="G376" i="2"/>
  <c r="L376" i="2"/>
  <c r="M376" i="2"/>
  <c r="N376" i="2"/>
  <c r="O376" i="2"/>
  <c r="Q376" i="2"/>
  <c r="R376" i="2"/>
  <c r="S376" i="2"/>
  <c r="T376" i="2"/>
  <c r="V376" i="2"/>
  <c r="W376" i="2"/>
  <c r="X376" i="2"/>
  <c r="Y376" i="2"/>
  <c r="AA376" i="2"/>
  <c r="AB376" i="2"/>
  <c r="AC376" i="2"/>
  <c r="AD376" i="2"/>
  <c r="K377" i="2"/>
  <c r="P377" i="2"/>
  <c r="I378" i="2"/>
  <c r="J378" i="2"/>
  <c r="N378" i="2"/>
  <c r="O378" i="2"/>
  <c r="S378" i="2"/>
  <c r="T378" i="2"/>
  <c r="X378" i="2"/>
  <c r="Y378" i="2"/>
  <c r="G379" i="2"/>
  <c r="L379" i="2"/>
  <c r="M379" i="2"/>
  <c r="N379" i="2"/>
  <c r="O379" i="2"/>
  <c r="Q379" i="2"/>
  <c r="R379" i="2"/>
  <c r="S379" i="2"/>
  <c r="T379" i="2"/>
  <c r="W379" i="2"/>
  <c r="X379" i="2"/>
  <c r="Y379" i="2"/>
  <c r="AB379" i="2"/>
  <c r="B384" i="2"/>
  <c r="B393" i="2" s="1"/>
  <c r="B420" i="2" s="1"/>
  <c r="D384" i="2"/>
  <c r="E384" i="2"/>
  <c r="E393" i="2" s="1"/>
  <c r="G384" i="2"/>
  <c r="H384" i="2"/>
  <c r="H386" i="2" s="1"/>
  <c r="I384" i="2"/>
  <c r="I393" i="2" s="1"/>
  <c r="J384" i="2"/>
  <c r="L384" i="2"/>
  <c r="M384" i="2"/>
  <c r="N385" i="2" s="1"/>
  <c r="Q384" i="2"/>
  <c r="R384" i="2"/>
  <c r="S384" i="2"/>
  <c r="T384" i="2"/>
  <c r="T386" i="2" s="1"/>
  <c r="V384" i="2"/>
  <c r="W384" i="2"/>
  <c r="X384" i="2"/>
  <c r="Y384" i="2"/>
  <c r="Y386" i="2" s="1"/>
  <c r="AA384" i="2"/>
  <c r="AA393" i="2" s="1"/>
  <c r="AB384" i="2"/>
  <c r="AC384" i="2"/>
  <c r="AC393" i="2" s="1"/>
  <c r="AC420" i="2" s="1"/>
  <c r="AD384" i="2"/>
  <c r="O385" i="2"/>
  <c r="C393" i="2"/>
  <c r="C420" i="2" s="1"/>
  <c r="N393" i="2"/>
  <c r="O393" i="2"/>
  <c r="O420" i="2" s="1"/>
  <c r="F399" i="2"/>
  <c r="H399" i="2"/>
  <c r="I400" i="2" s="1"/>
  <c r="L399" i="2"/>
  <c r="L401" i="2" s="1"/>
  <c r="M399" i="2"/>
  <c r="N399" i="2"/>
  <c r="O400" i="2" s="1"/>
  <c r="Q399" i="2"/>
  <c r="R399" i="2"/>
  <c r="S399" i="2"/>
  <c r="T399" i="2"/>
  <c r="V399" i="2"/>
  <c r="V401" i="2" s="1"/>
  <c r="W399" i="2"/>
  <c r="X399" i="2"/>
  <c r="X401" i="2" s="1"/>
  <c r="Y399" i="2"/>
  <c r="AA399" i="2"/>
  <c r="AA401" i="2" s="1"/>
  <c r="AB399" i="2"/>
  <c r="AC399" i="2"/>
  <c r="AC401" i="2" s="1"/>
  <c r="AD399" i="2"/>
  <c r="AD401" i="2" s="1"/>
  <c r="D400" i="2"/>
  <c r="E400" i="2"/>
  <c r="J400" i="2"/>
  <c r="G401" i="2"/>
  <c r="I401" i="2"/>
  <c r="J401" i="2"/>
  <c r="O401" i="2"/>
  <c r="B402" i="2"/>
  <c r="G404" i="2" s="1"/>
  <c r="F402" i="2"/>
  <c r="K402" i="2"/>
  <c r="K403" i="2" s="1"/>
  <c r="U402" i="2"/>
  <c r="U404" i="2" s="1"/>
  <c r="Z402" i="2"/>
  <c r="D403" i="2"/>
  <c r="E403" i="2"/>
  <c r="I403" i="2"/>
  <c r="J403" i="2"/>
  <c r="N403" i="2"/>
  <c r="O403" i="2"/>
  <c r="P403" i="2"/>
  <c r="R403" i="2"/>
  <c r="S403" i="2"/>
  <c r="T403" i="2"/>
  <c r="X403" i="2"/>
  <c r="Y403" i="2"/>
  <c r="AC403" i="2"/>
  <c r="AD403" i="2"/>
  <c r="H404" i="2"/>
  <c r="I404" i="2"/>
  <c r="J404" i="2"/>
  <c r="L404" i="2"/>
  <c r="M404" i="2"/>
  <c r="N404" i="2"/>
  <c r="O404" i="2"/>
  <c r="Q404" i="2"/>
  <c r="R404" i="2"/>
  <c r="S404" i="2"/>
  <c r="T404" i="2"/>
  <c r="V404" i="2"/>
  <c r="W404" i="2"/>
  <c r="X404" i="2"/>
  <c r="Y404" i="2"/>
  <c r="AA404" i="2"/>
  <c r="AB404" i="2"/>
  <c r="AC404" i="2"/>
  <c r="AD404" i="2"/>
  <c r="C408" i="2"/>
  <c r="D408" i="2"/>
  <c r="D413" i="2" s="1"/>
  <c r="B417" i="2"/>
  <c r="G417" i="2"/>
  <c r="H417" i="2"/>
  <c r="I417" i="2"/>
  <c r="J417" i="2"/>
  <c r="L417" i="2"/>
  <c r="M417" i="2"/>
  <c r="N417" i="2"/>
  <c r="O417" i="2"/>
  <c r="Q417" i="2"/>
  <c r="R417" i="2"/>
  <c r="S417" i="2"/>
  <c r="T417" i="2"/>
  <c r="V417" i="2"/>
  <c r="W417" i="2"/>
  <c r="X417" i="2"/>
  <c r="Y417" i="2"/>
  <c r="AA417" i="2"/>
  <c r="AB417" i="2"/>
  <c r="AD417" i="2"/>
  <c r="B418" i="2"/>
  <c r="C418" i="2"/>
  <c r="D418" i="2"/>
  <c r="E418" i="2"/>
  <c r="G418" i="2"/>
  <c r="H418" i="2"/>
  <c r="I418" i="2"/>
  <c r="J418" i="2"/>
  <c r="L418" i="2"/>
  <c r="M418" i="2"/>
  <c r="N418" i="2"/>
  <c r="O418" i="2"/>
  <c r="Q418" i="2"/>
  <c r="R418" i="2"/>
  <c r="S418" i="2"/>
  <c r="T418" i="2"/>
  <c r="V418" i="2"/>
  <c r="W418" i="2"/>
  <c r="X418" i="2"/>
  <c r="Y418" i="2"/>
  <c r="AA418" i="2"/>
  <c r="AB418" i="2"/>
  <c r="AC418" i="2"/>
  <c r="AD418" i="2"/>
  <c r="B419" i="2"/>
  <c r="C419" i="2"/>
  <c r="D419" i="2"/>
  <c r="E419" i="2"/>
  <c r="G419" i="2"/>
  <c r="H419" i="2"/>
  <c r="I419" i="2"/>
  <c r="J419" i="2"/>
  <c r="L419" i="2"/>
  <c r="M419" i="2"/>
  <c r="N419" i="2"/>
  <c r="O419" i="2"/>
  <c r="Q419" i="2"/>
  <c r="R419" i="2"/>
  <c r="S419" i="2"/>
  <c r="T419" i="2"/>
  <c r="V419" i="2"/>
  <c r="W419" i="2"/>
  <c r="X419" i="2"/>
  <c r="Y419" i="2"/>
  <c r="AA419" i="2"/>
  <c r="AB419" i="2"/>
  <c r="AC419" i="2"/>
  <c r="AD419" i="2"/>
  <c r="D427" i="2"/>
  <c r="E427" i="2"/>
  <c r="I427" i="2"/>
  <c r="J427" i="2"/>
  <c r="N427" i="2"/>
  <c r="O427" i="2"/>
  <c r="S427" i="2"/>
  <c r="T427" i="2"/>
  <c r="X427" i="2"/>
  <c r="Y427" i="2"/>
  <c r="AC427" i="2"/>
  <c r="AD427" i="2"/>
  <c r="G428" i="2"/>
  <c r="H428" i="2"/>
  <c r="I428" i="2"/>
  <c r="J428" i="2"/>
  <c r="L428" i="2"/>
  <c r="M428" i="2"/>
  <c r="N428" i="2"/>
  <c r="O428" i="2"/>
  <c r="Q428" i="2"/>
  <c r="R428" i="2"/>
  <c r="S428" i="2"/>
  <c r="T428" i="2"/>
  <c r="V428" i="2"/>
  <c r="W428" i="2"/>
  <c r="X428" i="2"/>
  <c r="Y428" i="2"/>
  <c r="AB428" i="2"/>
  <c r="AC428" i="2"/>
  <c r="AD428" i="2"/>
  <c r="K432" i="2"/>
  <c r="P432" i="2"/>
  <c r="U432" i="2"/>
  <c r="Z432" i="2"/>
  <c r="I433" i="2"/>
  <c r="J433" i="2"/>
  <c r="N433" i="2"/>
  <c r="O433" i="2"/>
  <c r="S433" i="2"/>
  <c r="T433" i="2"/>
  <c r="X433" i="2"/>
  <c r="Y433" i="2"/>
  <c r="G434" i="2"/>
  <c r="L434" i="2"/>
  <c r="M434" i="2"/>
  <c r="N434" i="2"/>
  <c r="O434" i="2"/>
  <c r="Q434" i="2"/>
  <c r="R434" i="2"/>
  <c r="S434" i="2"/>
  <c r="T434" i="2"/>
  <c r="V434" i="2"/>
  <c r="W434" i="2"/>
  <c r="X434" i="2"/>
  <c r="Y434" i="2"/>
  <c r="AA434" i="2"/>
  <c r="F447" i="2"/>
  <c r="K447" i="2"/>
  <c r="K448" i="2" s="1"/>
  <c r="P447" i="2"/>
  <c r="Z447" i="2"/>
  <c r="D448" i="2"/>
  <c r="E448" i="2"/>
  <c r="I448" i="2"/>
  <c r="J448" i="2"/>
  <c r="N448" i="2"/>
  <c r="O448" i="2"/>
  <c r="S448" i="2"/>
  <c r="T448" i="2"/>
  <c r="U448" i="2"/>
  <c r="W448" i="2"/>
  <c r="X448" i="2"/>
  <c r="Y448" i="2"/>
  <c r="G449" i="2"/>
  <c r="H449" i="2"/>
  <c r="I449" i="2"/>
  <c r="J449" i="2"/>
  <c r="L449" i="2"/>
  <c r="M449" i="2"/>
  <c r="N449" i="2"/>
  <c r="O449" i="2"/>
  <c r="Q449" i="2"/>
  <c r="R449" i="2"/>
  <c r="S449" i="2"/>
  <c r="T449" i="2"/>
  <c r="V449" i="2"/>
  <c r="W449" i="2"/>
  <c r="X449" i="2"/>
  <c r="Y449" i="2"/>
  <c r="AB449" i="2"/>
  <c r="F456" i="2"/>
  <c r="H457" i="2" s="1"/>
  <c r="K456" i="2"/>
  <c r="P456" i="2"/>
  <c r="P457" i="2" s="1"/>
  <c r="U456" i="2"/>
  <c r="Z456" i="2"/>
  <c r="D457" i="2"/>
  <c r="E457" i="2"/>
  <c r="I457" i="2"/>
  <c r="J457" i="2"/>
  <c r="N457" i="2"/>
  <c r="O457" i="2"/>
  <c r="S457" i="2"/>
  <c r="T457" i="2"/>
  <c r="X457" i="2"/>
  <c r="Y457" i="2"/>
  <c r="AC457" i="2"/>
  <c r="AD457" i="2"/>
  <c r="G458" i="2"/>
  <c r="H458" i="2"/>
  <c r="I458" i="2"/>
  <c r="J458" i="2"/>
  <c r="L458" i="2"/>
  <c r="M458" i="2"/>
  <c r="N458" i="2"/>
  <c r="O458" i="2"/>
  <c r="Q458" i="2"/>
  <c r="R458" i="2"/>
  <c r="S458" i="2"/>
  <c r="T458" i="2"/>
  <c r="V458" i="2"/>
  <c r="W458" i="2"/>
  <c r="X458" i="2"/>
  <c r="Y458" i="2"/>
  <c r="AB458" i="2"/>
  <c r="AC458" i="2"/>
  <c r="AD458" i="2"/>
  <c r="K429" i="2"/>
  <c r="P429" i="2"/>
  <c r="U429" i="2"/>
  <c r="Z429" i="2"/>
  <c r="I430" i="2"/>
  <c r="J430" i="2"/>
  <c r="N430" i="2"/>
  <c r="O430" i="2"/>
  <c r="S430" i="2"/>
  <c r="T430" i="2"/>
  <c r="X430" i="2"/>
  <c r="Y430" i="2"/>
  <c r="G431" i="2"/>
  <c r="L431" i="2"/>
  <c r="M431" i="2"/>
  <c r="N431" i="2"/>
  <c r="O431" i="2"/>
  <c r="Q431" i="2"/>
  <c r="R431" i="2"/>
  <c r="S431" i="2"/>
  <c r="T431" i="2"/>
  <c r="V431" i="2"/>
  <c r="W431" i="2"/>
  <c r="X431" i="2"/>
  <c r="Y431" i="2"/>
  <c r="AA431" i="2"/>
  <c r="K435" i="2"/>
  <c r="P435" i="2"/>
  <c r="U435" i="2"/>
  <c r="Z435" i="2"/>
  <c r="I436" i="2"/>
  <c r="J436" i="2"/>
  <c r="N436" i="2"/>
  <c r="O436" i="2"/>
  <c r="S436" i="2"/>
  <c r="T436" i="2"/>
  <c r="X436" i="2"/>
  <c r="Y436" i="2"/>
  <c r="AC436" i="2"/>
  <c r="AD436" i="2"/>
  <c r="G437" i="2"/>
  <c r="L437" i="2"/>
  <c r="M437" i="2"/>
  <c r="N437" i="2"/>
  <c r="O437" i="2"/>
  <c r="Q437" i="2"/>
  <c r="R437" i="2"/>
  <c r="S437" i="2"/>
  <c r="T437" i="2"/>
  <c r="V437" i="2"/>
  <c r="W437" i="2"/>
  <c r="X437" i="2"/>
  <c r="Y437" i="2"/>
  <c r="AA437" i="2"/>
  <c r="AB437" i="2"/>
  <c r="AC437" i="2"/>
  <c r="AD437" i="2"/>
  <c r="K438" i="2"/>
  <c r="P438" i="2"/>
  <c r="U438" i="2"/>
  <c r="Z438" i="2"/>
  <c r="I439" i="2"/>
  <c r="J439" i="2"/>
  <c r="N439" i="2"/>
  <c r="O439" i="2"/>
  <c r="S439" i="2"/>
  <c r="T439" i="2"/>
  <c r="X439" i="2"/>
  <c r="Y439" i="2"/>
  <c r="G440" i="2"/>
  <c r="L440" i="2"/>
  <c r="M440" i="2"/>
  <c r="N440" i="2"/>
  <c r="O440" i="2"/>
  <c r="Q440" i="2"/>
  <c r="R440" i="2"/>
  <c r="S440" i="2"/>
  <c r="T440" i="2"/>
  <c r="V440" i="2"/>
  <c r="W440" i="2"/>
  <c r="X440" i="2"/>
  <c r="Y440" i="2"/>
  <c r="AA440" i="2"/>
  <c r="F444" i="2"/>
  <c r="K444" i="2"/>
  <c r="P444" i="2"/>
  <c r="P445" i="2" s="1"/>
  <c r="U444" i="2"/>
  <c r="Z444" i="2"/>
  <c r="AB445" i="2" s="1"/>
  <c r="D445" i="2"/>
  <c r="E445" i="2"/>
  <c r="I445" i="2"/>
  <c r="J445" i="2"/>
  <c r="N445" i="2"/>
  <c r="O445" i="2"/>
  <c r="S445" i="2"/>
  <c r="T445" i="2"/>
  <c r="X445" i="2"/>
  <c r="Y445" i="2"/>
  <c r="AC445" i="2"/>
  <c r="AD445" i="2"/>
  <c r="G446" i="2"/>
  <c r="H446" i="2"/>
  <c r="I446" i="2"/>
  <c r="J446" i="2"/>
  <c r="L446" i="2"/>
  <c r="M446" i="2"/>
  <c r="N446" i="2"/>
  <c r="O446" i="2"/>
  <c r="Q446" i="2"/>
  <c r="R446" i="2"/>
  <c r="S446" i="2"/>
  <c r="T446" i="2"/>
  <c r="V446" i="2"/>
  <c r="W446" i="2"/>
  <c r="X446" i="2"/>
  <c r="Y446" i="2"/>
  <c r="AB446" i="2"/>
  <c r="AC446" i="2"/>
  <c r="AD446" i="2"/>
  <c r="B459" i="2"/>
  <c r="B487" i="2" s="1"/>
  <c r="C459" i="2"/>
  <c r="D459" i="2"/>
  <c r="D487" i="2" s="1"/>
  <c r="E459" i="2"/>
  <c r="G459" i="2"/>
  <c r="G487" i="2" s="1"/>
  <c r="H459" i="2"/>
  <c r="I459" i="2"/>
  <c r="I487" i="2" s="1"/>
  <c r="J459" i="2"/>
  <c r="J487" i="2" s="1"/>
  <c r="L459" i="2"/>
  <c r="L487" i="2" s="1"/>
  <c r="M459" i="2"/>
  <c r="M487" i="2" s="1"/>
  <c r="N459" i="2"/>
  <c r="O459" i="2"/>
  <c r="O461" i="2" s="1"/>
  <c r="Q459" i="2"/>
  <c r="Q487" i="2" s="1"/>
  <c r="R459" i="2"/>
  <c r="S459" i="2"/>
  <c r="T459" i="2"/>
  <c r="T461" i="2" s="1"/>
  <c r="V459" i="2"/>
  <c r="V487" i="2" s="1"/>
  <c r="X459" i="2"/>
  <c r="Y459" i="2"/>
  <c r="Y487" i="2" s="1"/>
  <c r="W460" i="2"/>
  <c r="F465" i="2"/>
  <c r="H466" i="2" s="1"/>
  <c r="K465" i="2"/>
  <c r="P465" i="2"/>
  <c r="U465" i="2"/>
  <c r="W466" i="2" s="1"/>
  <c r="Z465" i="2"/>
  <c r="D466" i="2"/>
  <c r="E466" i="2"/>
  <c r="I466" i="2"/>
  <c r="J466" i="2"/>
  <c r="N466" i="2"/>
  <c r="O466" i="2"/>
  <c r="S466" i="2"/>
  <c r="T466" i="2"/>
  <c r="X466" i="2"/>
  <c r="Y466" i="2"/>
  <c r="AC466" i="2"/>
  <c r="AD466" i="2"/>
  <c r="G467" i="2"/>
  <c r="H467" i="2"/>
  <c r="I467" i="2"/>
  <c r="J467" i="2"/>
  <c r="L467" i="2"/>
  <c r="M467" i="2"/>
  <c r="N467" i="2"/>
  <c r="O467" i="2"/>
  <c r="Q467" i="2"/>
  <c r="R467" i="2"/>
  <c r="S467" i="2"/>
  <c r="T467" i="2"/>
  <c r="V467" i="2"/>
  <c r="W467" i="2"/>
  <c r="X467" i="2"/>
  <c r="Y467" i="2"/>
  <c r="AB467" i="2"/>
  <c r="AC467" i="2"/>
  <c r="AD467" i="2"/>
  <c r="F468" i="2"/>
  <c r="K468" i="2"/>
  <c r="K469" i="2" s="1"/>
  <c r="Q468" i="2"/>
  <c r="V468" i="2"/>
  <c r="U468" i="2" s="1"/>
  <c r="U469" i="2" s="1"/>
  <c r="Z468" i="2"/>
  <c r="AB469" i="2" s="1"/>
  <c r="D469" i="2"/>
  <c r="E469" i="2"/>
  <c r="I469" i="2"/>
  <c r="J469" i="2"/>
  <c r="N469" i="2"/>
  <c r="O469" i="2"/>
  <c r="S469" i="2"/>
  <c r="T469" i="2"/>
  <c r="X469" i="2"/>
  <c r="Y469" i="2"/>
  <c r="AC469" i="2"/>
  <c r="AD469" i="2"/>
  <c r="G470" i="2"/>
  <c r="H470" i="2"/>
  <c r="I470" i="2"/>
  <c r="J470" i="2"/>
  <c r="L470" i="2"/>
  <c r="M470" i="2"/>
  <c r="N470" i="2"/>
  <c r="O470" i="2"/>
  <c r="R470" i="2"/>
  <c r="S470" i="2"/>
  <c r="T470" i="2"/>
  <c r="W470" i="2"/>
  <c r="X470" i="2"/>
  <c r="Y470" i="2"/>
  <c r="AB470" i="2"/>
  <c r="AC470" i="2"/>
  <c r="AD470" i="2"/>
  <c r="D474" i="2"/>
  <c r="C479" i="2"/>
  <c r="I479" i="2"/>
  <c r="B484" i="2"/>
  <c r="G484" i="2"/>
  <c r="H484" i="2"/>
  <c r="I484" i="2"/>
  <c r="J484" i="2"/>
  <c r="L484" i="2"/>
  <c r="M484" i="2"/>
  <c r="N484" i="2"/>
  <c r="O484" i="2"/>
  <c r="Q484" i="2"/>
  <c r="R484" i="2"/>
  <c r="S484" i="2"/>
  <c r="T484" i="2"/>
  <c r="V484" i="2"/>
  <c r="W484" i="2"/>
  <c r="X484" i="2"/>
  <c r="Y484" i="2"/>
  <c r="AA484" i="2"/>
  <c r="B485" i="2"/>
  <c r="C485" i="2"/>
  <c r="D485" i="2"/>
  <c r="E485" i="2"/>
  <c r="G485" i="2"/>
  <c r="H485" i="2"/>
  <c r="I485" i="2"/>
  <c r="J485" i="2"/>
  <c r="L485" i="2"/>
  <c r="M485" i="2"/>
  <c r="N485" i="2"/>
  <c r="O485" i="2"/>
  <c r="Q485" i="2"/>
  <c r="R485" i="2"/>
  <c r="S485" i="2"/>
  <c r="T485" i="2"/>
  <c r="V485" i="2"/>
  <c r="W485" i="2"/>
  <c r="X485" i="2"/>
  <c r="Y485" i="2"/>
  <c r="AA485" i="2"/>
  <c r="AB485" i="2"/>
  <c r="B486" i="2"/>
  <c r="C486" i="2"/>
  <c r="D486" i="2"/>
  <c r="E486" i="2"/>
  <c r="G486" i="2"/>
  <c r="H486" i="2"/>
  <c r="I486" i="2"/>
  <c r="J486" i="2"/>
  <c r="L486" i="2"/>
  <c r="M486" i="2"/>
  <c r="N486" i="2"/>
  <c r="O486" i="2"/>
  <c r="Q486" i="2"/>
  <c r="R486" i="2"/>
  <c r="S486" i="2"/>
  <c r="T486" i="2"/>
  <c r="V486" i="2"/>
  <c r="W486" i="2"/>
  <c r="X486" i="2"/>
  <c r="Y486" i="2"/>
  <c r="AB486" i="2"/>
  <c r="AC486" i="2"/>
  <c r="AD486" i="2"/>
  <c r="W487" i="2"/>
  <c r="AE332" i="2"/>
  <c r="AC417" i="2"/>
  <c r="AC485" i="2"/>
  <c r="AC389" i="2"/>
  <c r="AD388" i="2"/>
  <c r="AC373" i="2"/>
  <c r="AD372" i="2"/>
  <c r="AD218" i="2"/>
  <c r="AC388" i="2"/>
  <c r="AC448" i="2"/>
  <c r="AC449" i="2"/>
  <c r="AD342" i="2"/>
  <c r="AE403" i="2"/>
  <c r="AD459" i="2"/>
  <c r="AD485" i="2"/>
  <c r="AD449" i="2"/>
  <c r="AD448" i="2"/>
  <c r="AE338" i="2"/>
  <c r="AE447" i="2"/>
  <c r="AF459" i="2"/>
  <c r="AF487" i="2" s="1"/>
  <c r="AF449" i="2"/>
  <c r="AF485" i="2"/>
  <c r="AG413" i="2"/>
  <c r="AH433" i="2"/>
  <c r="AH484" i="2"/>
  <c r="AH218" i="2"/>
  <c r="AH301" i="2"/>
  <c r="AH372" i="2"/>
  <c r="AH393" i="2"/>
  <c r="AH400" i="2"/>
  <c r="AH373" i="2"/>
  <c r="AH388" i="2"/>
  <c r="AH418" i="2"/>
  <c r="AH389" i="2"/>
  <c r="AH318" i="2"/>
  <c r="AI219" i="2"/>
  <c r="AI385" i="2"/>
  <c r="AI400" i="2"/>
  <c r="AF373" i="2"/>
  <c r="AF417" i="2"/>
  <c r="AE466" i="2"/>
  <c r="AE387" i="2"/>
  <c r="AF389" i="2"/>
  <c r="AF418" i="2"/>
  <c r="AJ432" i="2"/>
  <c r="AJ371" i="2"/>
  <c r="AJ387" i="2"/>
  <c r="AJ368" i="2"/>
  <c r="AJ369" i="2" s="1"/>
  <c r="AJ447" i="2"/>
  <c r="AJ300" i="2"/>
  <c r="AJ301" i="2" s="1"/>
  <c r="AJ317" i="2"/>
  <c r="AG219" i="2"/>
  <c r="AJ377" i="2"/>
  <c r="AH378" i="2"/>
  <c r="AI378" i="2"/>
  <c r="AH219" i="2"/>
  <c r="AC218" i="2"/>
  <c r="AH409" i="2"/>
  <c r="AH413" i="2"/>
  <c r="AI393" i="2"/>
  <c r="AI413" i="2"/>
  <c r="AI409" i="2"/>
  <c r="AE217" i="2"/>
  <c r="AG218" i="2" s="1"/>
  <c r="AG393" i="2"/>
  <c r="AH385" i="2"/>
  <c r="AG479" i="2"/>
  <c r="AH472" i="2"/>
  <c r="AI472" i="2"/>
  <c r="AH479" i="2"/>
  <c r="AH475" i="2"/>
  <c r="U487" i="2"/>
  <c r="AI475" i="2"/>
  <c r="AI479" i="2"/>
  <c r="AC474" i="2"/>
  <c r="S473" i="2" l="1"/>
  <c r="AH473" i="2"/>
  <c r="AJ472" i="2"/>
  <c r="AH237" i="2"/>
  <c r="AH242" i="2" s="1"/>
  <c r="AH243" i="2" s="1"/>
  <c r="W401" i="2"/>
  <c r="AD472" i="2"/>
  <c r="AB408" i="2"/>
  <c r="AG410" i="2" s="1"/>
  <c r="O237" i="2"/>
  <c r="O242" i="2" s="1"/>
  <c r="R349" i="2"/>
  <c r="R348" i="2"/>
  <c r="N347" i="2"/>
  <c r="Y473" i="2"/>
  <c r="T408" i="2"/>
  <c r="T413" i="2" s="1"/>
  <c r="AI473" i="2"/>
  <c r="U472" i="2"/>
  <c r="O488" i="2"/>
  <c r="Q348" i="2"/>
  <c r="T474" i="2"/>
  <c r="T479" i="2" s="1"/>
  <c r="U480" i="2" s="1"/>
  <c r="Q284" i="2"/>
  <c r="T473" i="2"/>
  <c r="T284" i="2"/>
  <c r="P427" i="2"/>
  <c r="AD488" i="2"/>
  <c r="K123" i="2"/>
  <c r="W474" i="2"/>
  <c r="W479" i="2" s="1"/>
  <c r="W480" i="2" s="1"/>
  <c r="U486" i="2"/>
  <c r="U484" i="2"/>
  <c r="I472" i="2"/>
  <c r="AA408" i="2"/>
  <c r="AA413" i="2" s="1"/>
  <c r="P484" i="2"/>
  <c r="W472" i="2"/>
  <c r="Q474" i="2"/>
  <c r="Q479" i="2" s="1"/>
  <c r="U428" i="2"/>
  <c r="W427" i="2"/>
  <c r="U485" i="2"/>
  <c r="P485" i="2"/>
  <c r="U427" i="2"/>
  <c r="O336" i="2"/>
  <c r="W408" i="2"/>
  <c r="AF90" i="2"/>
  <c r="AF275" i="2"/>
  <c r="M355" i="2"/>
  <c r="R34" i="2"/>
  <c r="P124" i="2"/>
  <c r="AB22" i="2"/>
  <c r="Z123" i="2"/>
  <c r="AE123" i="2"/>
  <c r="U22" i="2"/>
  <c r="U123" i="2"/>
  <c r="AJ123" i="2"/>
  <c r="Q169" i="2"/>
  <c r="Q125" i="2"/>
  <c r="AB94" i="2"/>
  <c r="AB126" i="2"/>
  <c r="AG94" i="2"/>
  <c r="AG126" i="2"/>
  <c r="R22" i="2"/>
  <c r="P123" i="2"/>
  <c r="AE124" i="2"/>
  <c r="I94" i="2"/>
  <c r="I126" i="2"/>
  <c r="N94" i="2"/>
  <c r="N99" i="2" s="1"/>
  <c r="N126" i="2"/>
  <c r="AJ124" i="2"/>
  <c r="AC36" i="2"/>
  <c r="M36" i="2"/>
  <c r="AF36" i="2"/>
  <c r="AF169" i="2"/>
  <c r="Q94" i="2"/>
  <c r="Q99" i="2" s="1"/>
  <c r="AH335" i="2"/>
  <c r="AA94" i="2"/>
  <c r="AF195" i="2"/>
  <c r="AC276" i="2"/>
  <c r="S283" i="2"/>
  <c r="L408" i="2"/>
  <c r="AH36" i="2"/>
  <c r="AD36" i="2"/>
  <c r="R36" i="2"/>
  <c r="N36" i="2"/>
  <c r="AA36" i="2"/>
  <c r="AA169" i="2"/>
  <c r="G36" i="2"/>
  <c r="G169" i="2"/>
  <c r="C94" i="2"/>
  <c r="C99" i="2" s="1"/>
  <c r="M94" i="2"/>
  <c r="M99" i="2" s="1"/>
  <c r="R94" i="2"/>
  <c r="R99" i="2" s="1"/>
  <c r="W94" i="2"/>
  <c r="W99" i="2" s="1"/>
  <c r="B169" i="2"/>
  <c r="AF94" i="2"/>
  <c r="AF99" i="2" s="1"/>
  <c r="Q90" i="2"/>
  <c r="W348" i="2"/>
  <c r="AI36" i="2"/>
  <c r="W36" i="2"/>
  <c r="S36" i="2"/>
  <c r="O36" i="2"/>
  <c r="V36" i="2"/>
  <c r="V169" i="2"/>
  <c r="S94" i="2"/>
  <c r="S99" i="2" s="1"/>
  <c r="X94" i="2"/>
  <c r="X99" i="2" s="1"/>
  <c r="AC94" i="2"/>
  <c r="AC99" i="2" s="1"/>
  <c r="AH94" i="2"/>
  <c r="AG36" i="2"/>
  <c r="Y36" i="2"/>
  <c r="L36" i="2"/>
  <c r="L169" i="2"/>
  <c r="L94" i="2"/>
  <c r="L99" i="2" s="1"/>
  <c r="AG337" i="2"/>
  <c r="AG342" i="2" s="1"/>
  <c r="AH343" i="2" s="1"/>
  <c r="J472" i="2"/>
  <c r="V90" i="2"/>
  <c r="X283" i="2"/>
  <c r="O408" i="2"/>
  <c r="AC283" i="2"/>
  <c r="W284" i="2"/>
  <c r="AB36" i="2"/>
  <c r="J94" i="2"/>
  <c r="J99" i="2" s="1"/>
  <c r="O94" i="2"/>
  <c r="O99" i="2" s="1"/>
  <c r="T94" i="2"/>
  <c r="T99" i="2" s="1"/>
  <c r="Y94" i="2"/>
  <c r="Y99" i="2" s="1"/>
  <c r="AD94" i="2"/>
  <c r="AI94" i="2"/>
  <c r="H94" i="2"/>
  <c r="G473" i="2"/>
  <c r="AJ217" i="2"/>
  <c r="AJ219" i="2" s="1"/>
  <c r="W51" i="2"/>
  <c r="S284" i="2"/>
  <c r="N284" i="2"/>
  <c r="Y346" i="2"/>
  <c r="J474" i="2"/>
  <c r="J475" i="2" s="1"/>
  <c r="L349" i="2"/>
  <c r="AC236" i="2"/>
  <c r="L293" i="2"/>
  <c r="Y349" i="2"/>
  <c r="O473" i="2"/>
  <c r="H348" i="2"/>
  <c r="L347" i="2"/>
  <c r="T176" i="2"/>
  <c r="B348" i="2"/>
  <c r="X336" i="2"/>
  <c r="O472" i="2"/>
  <c r="AC90" i="2"/>
  <c r="N488" i="2"/>
  <c r="AC472" i="2"/>
  <c r="W277" i="2"/>
  <c r="Y421" i="2"/>
  <c r="AJ266" i="2"/>
  <c r="O407" i="2"/>
  <c r="Y40" i="2"/>
  <c r="Z22" i="2"/>
  <c r="AE182" i="2"/>
  <c r="AE329" i="2"/>
  <c r="V379" i="2"/>
  <c r="AG236" i="2"/>
  <c r="AJ84" i="2"/>
  <c r="AJ460" i="2"/>
  <c r="L87" i="2"/>
  <c r="AJ25" i="2"/>
  <c r="AB56" i="2"/>
  <c r="V386" i="2"/>
  <c r="AD406" i="2"/>
  <c r="Z59" i="2"/>
  <c r="R408" i="2"/>
  <c r="R413" i="2" s="1"/>
  <c r="AJ474" i="2"/>
  <c r="AJ475" i="2" s="1"/>
  <c r="W62" i="2"/>
  <c r="AI346" i="2"/>
  <c r="AG407" i="2"/>
  <c r="AC379" i="2"/>
  <c r="AC460" i="2"/>
  <c r="AH50" i="2"/>
  <c r="AI348" i="2"/>
  <c r="AB284" i="2"/>
  <c r="AG229" i="2"/>
  <c r="X235" i="2"/>
  <c r="AD41" i="2"/>
  <c r="V94" i="2"/>
  <c r="V99" i="2" s="1"/>
  <c r="AA90" i="2"/>
  <c r="T472" i="2"/>
  <c r="AD473" i="2"/>
  <c r="S406" i="2"/>
  <c r="N474" i="2"/>
  <c r="N479" i="2" s="1"/>
  <c r="N481" i="2" s="1"/>
  <c r="AJ254" i="2"/>
  <c r="W347" i="2"/>
  <c r="S408" i="2"/>
  <c r="T409" i="2" s="1"/>
  <c r="R347" i="2"/>
  <c r="AB348" i="2"/>
  <c r="N346" i="2"/>
  <c r="B408" i="2"/>
  <c r="B413" i="2" s="1"/>
  <c r="K419" i="2"/>
  <c r="AB300" i="2"/>
  <c r="AB302" i="2" s="1"/>
  <c r="AJ261" i="2"/>
  <c r="AA236" i="2"/>
  <c r="O283" i="2"/>
  <c r="AE356" i="2"/>
  <c r="AF407" i="2"/>
  <c r="J176" i="2"/>
  <c r="F427" i="2"/>
  <c r="U28" i="2"/>
  <c r="J408" i="2"/>
  <c r="R346" i="2"/>
  <c r="Y236" i="2"/>
  <c r="W203" i="2"/>
  <c r="AI235" i="2"/>
  <c r="AF276" i="2"/>
  <c r="AJ65" i="2"/>
  <c r="W346" i="2"/>
  <c r="J335" i="2"/>
  <c r="I337" i="2"/>
  <c r="I338" i="2" s="1"/>
  <c r="AJ321" i="2"/>
  <c r="AJ286" i="2"/>
  <c r="AJ191" i="2"/>
  <c r="I276" i="2"/>
  <c r="N176" i="2"/>
  <c r="W177" i="2"/>
  <c r="AJ234" i="2"/>
  <c r="AJ235" i="2" s="1"/>
  <c r="AA407" i="2"/>
  <c r="H177" i="2"/>
  <c r="AC235" i="2"/>
  <c r="AH236" i="2"/>
  <c r="O347" i="2"/>
  <c r="L41" i="2"/>
  <c r="H346" i="2"/>
  <c r="O348" i="2"/>
  <c r="AJ179" i="2"/>
  <c r="AG348" i="2"/>
  <c r="AH406" i="2"/>
  <c r="AD421" i="2"/>
  <c r="AJ53" i="2"/>
  <c r="L473" i="2"/>
  <c r="J177" i="2"/>
  <c r="Q295" i="2"/>
  <c r="AI275" i="2"/>
  <c r="Y347" i="2"/>
  <c r="AH407" i="2"/>
  <c r="AC284" i="2"/>
  <c r="T348" i="2"/>
  <c r="AI337" i="2"/>
  <c r="AI339" i="2" s="1"/>
  <c r="L295" i="2"/>
  <c r="T347" i="2"/>
  <c r="M90" i="2"/>
  <c r="AD40" i="2"/>
  <c r="J276" i="2"/>
  <c r="Q293" i="2"/>
  <c r="T283" i="2"/>
  <c r="Q407" i="2"/>
  <c r="AJ260" i="2"/>
  <c r="AJ71" i="2"/>
  <c r="P356" i="2"/>
  <c r="Y348" i="2"/>
  <c r="T406" i="2"/>
  <c r="AF41" i="2"/>
  <c r="H284" i="2"/>
  <c r="O346" i="2"/>
  <c r="AA237" i="2"/>
  <c r="AA242" i="2" s="1"/>
  <c r="AF244" i="2" s="1"/>
  <c r="AJ72" i="2"/>
  <c r="AJ304" i="2"/>
  <c r="AJ59" i="2"/>
  <c r="L348" i="2"/>
  <c r="L474" i="2"/>
  <c r="L476" i="2" s="1"/>
  <c r="AB440" i="2"/>
  <c r="P417" i="2"/>
  <c r="Q347" i="2"/>
  <c r="X237" i="2"/>
  <c r="AC239" i="2" s="1"/>
  <c r="Z234" i="2"/>
  <c r="AB235" i="2" s="1"/>
  <c r="Y407" i="2"/>
  <c r="V284" i="2"/>
  <c r="W407" i="2"/>
  <c r="P420" i="2"/>
  <c r="H408" i="2"/>
  <c r="M410" i="2" s="1"/>
  <c r="AI335" i="2"/>
  <c r="AF236" i="2"/>
  <c r="P355" i="2"/>
  <c r="H349" i="2"/>
  <c r="H90" i="2"/>
  <c r="AH41" i="2"/>
  <c r="AH40" i="2"/>
  <c r="J275" i="2"/>
  <c r="N235" i="2"/>
  <c r="R41" i="2"/>
  <c r="W13" i="2"/>
  <c r="AE39" i="2"/>
  <c r="AE125" i="2" s="1"/>
  <c r="N40" i="2"/>
  <c r="L461" i="2"/>
  <c r="AG284" i="2"/>
  <c r="T407" i="2"/>
  <c r="Q473" i="2"/>
  <c r="Q408" i="2"/>
  <c r="AG346" i="2"/>
  <c r="Y283" i="2"/>
  <c r="H347" i="2"/>
  <c r="AJ330" i="2"/>
  <c r="AJ66" i="2"/>
  <c r="R90" i="2"/>
  <c r="Y284" i="2"/>
  <c r="H277" i="2"/>
  <c r="AJ192" i="2"/>
  <c r="I283" i="2"/>
  <c r="O235" i="2"/>
  <c r="T236" i="2"/>
  <c r="Y177" i="2"/>
  <c r="Q336" i="2"/>
  <c r="R336" i="2"/>
  <c r="B347" i="2"/>
  <c r="Q337" i="2"/>
  <c r="Q342" i="2" s="1"/>
  <c r="N276" i="2"/>
  <c r="K175" i="2"/>
  <c r="K176" i="2" s="1"/>
  <c r="Y275" i="2"/>
  <c r="B349" i="2"/>
  <c r="I348" i="2"/>
  <c r="T337" i="2"/>
  <c r="T342" i="2" s="1"/>
  <c r="T343" i="2" s="1"/>
  <c r="I336" i="2"/>
  <c r="I177" i="2"/>
  <c r="I284" i="2"/>
  <c r="Y90" i="2"/>
  <c r="AJ355" i="2"/>
  <c r="AB474" i="2"/>
  <c r="AG476" i="2" s="1"/>
  <c r="AB431" i="2"/>
  <c r="AE175" i="2"/>
  <c r="AE275" i="2" s="1"/>
  <c r="H236" i="2"/>
  <c r="AC176" i="2"/>
  <c r="N87" i="2"/>
  <c r="AI177" i="2"/>
  <c r="AG177" i="2"/>
  <c r="AD276" i="2"/>
  <c r="Z34" i="2"/>
  <c r="I176" i="2"/>
  <c r="AB182" i="2"/>
  <c r="Y235" i="2"/>
  <c r="AI349" i="2"/>
  <c r="Z335" i="2"/>
  <c r="D406" i="2"/>
  <c r="Z16" i="2"/>
  <c r="X337" i="2"/>
  <c r="X342" i="2" s="1"/>
  <c r="X344" i="2" s="1"/>
  <c r="AD407" i="2"/>
  <c r="AJ83" i="2"/>
  <c r="AJ332" i="2"/>
  <c r="L197" i="2"/>
  <c r="T90" i="2"/>
  <c r="I277" i="2"/>
  <c r="AI237" i="2"/>
  <c r="AI242" i="2" s="1"/>
  <c r="Q237" i="2"/>
  <c r="Q242" i="2" s="1"/>
  <c r="L336" i="2"/>
  <c r="AH90" i="2"/>
  <c r="AB276" i="2"/>
  <c r="AD277" i="2"/>
  <c r="L277" i="2"/>
  <c r="M236" i="2"/>
  <c r="AD284" i="2"/>
  <c r="M337" i="2"/>
  <c r="R339" i="2" s="1"/>
  <c r="AJ445" i="2"/>
  <c r="E335" i="2"/>
  <c r="Y335" i="2"/>
  <c r="AJ232" i="2"/>
  <c r="S177" i="2"/>
  <c r="L275" i="2"/>
  <c r="Y277" i="2"/>
  <c r="T277" i="2"/>
  <c r="Q236" i="2"/>
  <c r="AB236" i="2"/>
  <c r="AG275" i="2"/>
  <c r="Z88" i="2"/>
  <c r="AD89" i="2"/>
  <c r="W275" i="2"/>
  <c r="AB177" i="2"/>
  <c r="AD177" i="2"/>
  <c r="S219" i="2"/>
  <c r="K229" i="2"/>
  <c r="P234" i="2"/>
  <c r="R235" i="2" s="1"/>
  <c r="I347" i="2"/>
  <c r="AD348" i="2"/>
  <c r="D335" i="2"/>
  <c r="N275" i="2"/>
  <c r="AD283" i="2"/>
  <c r="T336" i="2"/>
  <c r="AJ457" i="2"/>
  <c r="AI284" i="2"/>
  <c r="L195" i="2"/>
  <c r="L276" i="2"/>
  <c r="AB307" i="2"/>
  <c r="AG276" i="2"/>
  <c r="AE307" i="2"/>
  <c r="AE289" i="2"/>
  <c r="AB185" i="2"/>
  <c r="X89" i="2"/>
  <c r="AD176" i="2"/>
  <c r="AD275" i="2"/>
  <c r="AA219" i="2"/>
  <c r="V236" i="2"/>
  <c r="I346" i="2"/>
  <c r="AD300" i="2"/>
  <c r="Y336" i="2"/>
  <c r="X335" i="2"/>
  <c r="AJ375" i="2"/>
  <c r="AJ186" i="2"/>
  <c r="I89" i="2"/>
  <c r="J406" i="2"/>
  <c r="M473" i="2"/>
  <c r="Y472" i="2"/>
  <c r="T393" i="2"/>
  <c r="T395" i="2" s="1"/>
  <c r="AI51" i="2"/>
  <c r="AG460" i="2"/>
  <c r="T235" i="2"/>
  <c r="Y89" i="2"/>
  <c r="U179" i="2"/>
  <c r="S236" i="2"/>
  <c r="J473" i="2"/>
  <c r="AB473" i="2"/>
  <c r="AI90" i="2"/>
  <c r="E474" i="2"/>
  <c r="E475" i="2" s="1"/>
  <c r="AG473" i="2"/>
  <c r="AB407" i="2"/>
  <c r="H474" i="2"/>
  <c r="H476" i="2" s="1"/>
  <c r="O90" i="2"/>
  <c r="AC406" i="2"/>
  <c r="B474" i="2"/>
  <c r="B479" i="2" s="1"/>
  <c r="R275" i="2"/>
  <c r="N237" i="2"/>
  <c r="S239" i="2" s="1"/>
  <c r="AD90" i="2"/>
  <c r="E276" i="2"/>
  <c r="AB277" i="2"/>
  <c r="AG41" i="2"/>
  <c r="AG203" i="2"/>
  <c r="AC40" i="2"/>
  <c r="U209" i="2"/>
  <c r="W403" i="2"/>
  <c r="AI89" i="2"/>
  <c r="N177" i="2"/>
  <c r="O406" i="2"/>
  <c r="AH379" i="2"/>
  <c r="H473" i="2"/>
  <c r="S474" i="2"/>
  <c r="S479" i="2" s="1"/>
  <c r="N408" i="2"/>
  <c r="U356" i="2"/>
  <c r="P428" i="2"/>
  <c r="AB278" i="2"/>
  <c r="AC278" i="2"/>
  <c r="AG225" i="2"/>
  <c r="AH51" i="2"/>
  <c r="AJ10" i="2"/>
  <c r="Q455" i="2"/>
  <c r="AC89" i="2"/>
  <c r="M177" i="2"/>
  <c r="T50" i="2"/>
  <c r="AI460" i="2"/>
  <c r="H242" i="2"/>
  <c r="M244" i="2" s="1"/>
  <c r="Z210" i="2"/>
  <c r="I225" i="2"/>
  <c r="X218" i="2"/>
  <c r="M239" i="2"/>
  <c r="AJ11" i="2"/>
  <c r="Q219" i="2"/>
  <c r="F466" i="2"/>
  <c r="AH460" i="2"/>
  <c r="U466" i="2"/>
  <c r="AI277" i="2"/>
  <c r="D338" i="2"/>
  <c r="Z434" i="2"/>
  <c r="AJ201" i="2"/>
  <c r="AG350" i="2"/>
  <c r="AC409" i="2"/>
  <c r="AJ370" i="2"/>
  <c r="AE321" i="2"/>
  <c r="AG252" i="2"/>
  <c r="AE210" i="2"/>
  <c r="P183" i="2"/>
  <c r="M304" i="2"/>
  <c r="W372" i="2"/>
  <c r="AJ16" i="2"/>
  <c r="Z209" i="2"/>
  <c r="L236" i="2"/>
  <c r="W236" i="2"/>
  <c r="U175" i="2"/>
  <c r="U275" i="2" s="1"/>
  <c r="AC336" i="2"/>
  <c r="Q51" i="2"/>
  <c r="X400" i="2"/>
  <c r="P182" i="2"/>
  <c r="P185" i="2"/>
  <c r="V219" i="2"/>
  <c r="F318" i="2"/>
  <c r="W433" i="2"/>
  <c r="U403" i="2"/>
  <c r="Z179" i="2"/>
  <c r="AJ34" i="2"/>
  <c r="AD476" i="2"/>
  <c r="U440" i="2"/>
  <c r="I218" i="2"/>
  <c r="U210" i="2"/>
  <c r="U180" i="2"/>
  <c r="E83" i="2"/>
  <c r="AF225" i="2"/>
  <c r="AI224" i="2"/>
  <c r="Z180" i="2"/>
  <c r="U433" i="2"/>
  <c r="AB298" i="2"/>
  <c r="H209" i="2"/>
  <c r="AI225" i="2"/>
  <c r="P201" i="2"/>
  <c r="K210" i="2"/>
  <c r="AJ35" i="2"/>
  <c r="N90" i="2"/>
  <c r="E86" i="2"/>
  <c r="I40" i="2"/>
  <c r="AE17" i="2"/>
  <c r="AE192" i="2"/>
  <c r="AI350" i="2"/>
  <c r="AE183" i="2"/>
  <c r="AG83" i="2"/>
  <c r="T40" i="2"/>
  <c r="Z206" i="2"/>
  <c r="AA225" i="2"/>
  <c r="L233" i="2"/>
  <c r="P419" i="2"/>
  <c r="Y393" i="2"/>
  <c r="T487" i="2"/>
  <c r="P394" i="2"/>
  <c r="Y342" i="2"/>
  <c r="AD344" i="2" s="1"/>
  <c r="M393" i="2"/>
  <c r="M420" i="2" s="1"/>
  <c r="AE84" i="2"/>
  <c r="S50" i="2"/>
  <c r="AF233" i="2"/>
  <c r="AC238" i="2"/>
  <c r="G316" i="2"/>
  <c r="O342" i="2"/>
  <c r="O344" i="2" s="1"/>
  <c r="AI40" i="2"/>
  <c r="N219" i="2"/>
  <c r="H276" i="2"/>
  <c r="Q225" i="2"/>
  <c r="AE83" i="2"/>
  <c r="AI41" i="2"/>
  <c r="Z204" i="2"/>
  <c r="F231" i="2"/>
  <c r="H232" i="2" s="1"/>
  <c r="Q277" i="2"/>
  <c r="AB68" i="2"/>
  <c r="AG257" i="2"/>
  <c r="U71" i="2"/>
  <c r="Z60" i="2"/>
  <c r="AC50" i="2"/>
  <c r="U14" i="2"/>
  <c r="AJ400" i="2"/>
  <c r="I316" i="2"/>
  <c r="AB41" i="2"/>
  <c r="G236" i="2"/>
  <c r="AG179" i="2"/>
  <c r="W41" i="2"/>
  <c r="W83" i="2"/>
  <c r="Z53" i="2"/>
  <c r="Y276" i="2"/>
  <c r="AJ50" i="2"/>
  <c r="I315" i="2"/>
  <c r="AF392" i="2"/>
  <c r="S41" i="2"/>
  <c r="V470" i="2"/>
  <c r="U467" i="2"/>
  <c r="J349" i="2"/>
  <c r="AE29" i="2"/>
  <c r="AG50" i="2"/>
  <c r="AE377" i="2"/>
  <c r="AG378" i="2" s="1"/>
  <c r="AJ23" i="2"/>
  <c r="AJ183" i="2"/>
  <c r="Z39" i="2"/>
  <c r="U39" i="2"/>
  <c r="U125" i="2" s="1"/>
  <c r="AE369" i="2"/>
  <c r="N406" i="2"/>
  <c r="O323" i="2"/>
  <c r="O325" i="2" s="1"/>
  <c r="AI50" i="2"/>
  <c r="AJ39" i="2"/>
  <c r="AJ40" i="2" s="1"/>
  <c r="AE34" i="2"/>
  <c r="O40" i="2"/>
  <c r="X40" i="2"/>
  <c r="AJ229" i="2"/>
  <c r="AF419" i="2"/>
  <c r="O487" i="2"/>
  <c r="AE391" i="2"/>
  <c r="AA41" i="2"/>
  <c r="AF370" i="2"/>
  <c r="P289" i="2"/>
  <c r="AG323" i="2"/>
  <c r="AH324" i="2" s="1"/>
  <c r="AC434" i="2"/>
  <c r="S224" i="2"/>
  <c r="U272" i="2"/>
  <c r="R473" i="2"/>
  <c r="I323" i="2"/>
  <c r="K323" i="2" s="1"/>
  <c r="K324" i="2" s="1"/>
  <c r="O316" i="2"/>
  <c r="AJ230" i="2"/>
  <c r="AF408" i="2"/>
  <c r="AF413" i="2" s="1"/>
  <c r="AE230" i="2"/>
  <c r="P210" i="2"/>
  <c r="T41" i="2"/>
  <c r="S40" i="2"/>
  <c r="W301" i="2"/>
  <c r="U460" i="2"/>
  <c r="AB321" i="2"/>
  <c r="F321" i="2"/>
  <c r="AC484" i="2"/>
  <c r="T324" i="2"/>
  <c r="Z186" i="2"/>
  <c r="J86" i="2"/>
  <c r="Z29" i="2"/>
  <c r="U84" i="2"/>
  <c r="AG461" i="2"/>
  <c r="AB487" i="2"/>
  <c r="D393" i="2"/>
  <c r="D420" i="2" s="1"/>
  <c r="D385" i="2"/>
  <c r="R329" i="2"/>
  <c r="P329" i="2"/>
  <c r="AB266" i="2"/>
  <c r="Z266" i="2"/>
  <c r="Z257" i="2"/>
  <c r="AB257" i="2"/>
  <c r="P28" i="2"/>
  <c r="R28" i="2"/>
  <c r="AB13" i="2"/>
  <c r="Z14" i="2"/>
  <c r="Z377" i="2"/>
  <c r="Z378" i="2" s="1"/>
  <c r="AF379" i="2"/>
  <c r="AG220" i="2"/>
  <c r="AJ223" i="2"/>
  <c r="AI251" i="2"/>
  <c r="AH251" i="2"/>
  <c r="O89" i="2"/>
  <c r="U88" i="2"/>
  <c r="T89" i="2"/>
  <c r="S90" i="2"/>
  <c r="I237" i="2"/>
  <c r="K237" i="2" s="1"/>
  <c r="K238" i="2" s="1"/>
  <c r="I235" i="2"/>
  <c r="AD236" i="2"/>
  <c r="AD237" i="2"/>
  <c r="AD242" i="2" s="1"/>
  <c r="AD244" i="2" s="1"/>
  <c r="AI236" i="2"/>
  <c r="AJ175" i="2"/>
  <c r="AJ275" i="2" s="1"/>
  <c r="S336" i="2"/>
  <c r="N337" i="2"/>
  <c r="S339" i="2" s="1"/>
  <c r="AH347" i="2"/>
  <c r="AI283" i="2"/>
  <c r="P302" i="2"/>
  <c r="AG277" i="2"/>
  <c r="AJ210" i="2"/>
  <c r="AE234" i="2"/>
  <c r="AE254" i="2"/>
  <c r="U333" i="2"/>
  <c r="U332" i="2"/>
  <c r="P233" i="2"/>
  <c r="K232" i="2"/>
  <c r="P229" i="2"/>
  <c r="P230" i="2"/>
  <c r="M277" i="2"/>
  <c r="Z203" i="2"/>
  <c r="AB203" i="2"/>
  <c r="AB200" i="2"/>
  <c r="Z200" i="2"/>
  <c r="AB219" i="2"/>
  <c r="W276" i="2"/>
  <c r="O219" i="2"/>
  <c r="O276" i="2"/>
  <c r="O218" i="2"/>
  <c r="I219" i="2"/>
  <c r="J218" i="2"/>
  <c r="D276" i="2"/>
  <c r="D218" i="2"/>
  <c r="W191" i="2"/>
  <c r="U192" i="2"/>
  <c r="Z192" i="2"/>
  <c r="U191" i="2"/>
  <c r="M185" i="2"/>
  <c r="K185" i="2"/>
  <c r="P186" i="2"/>
  <c r="M182" i="2"/>
  <c r="K182" i="2"/>
  <c r="Z71" i="2"/>
  <c r="Z72" i="2"/>
  <c r="AB25" i="2"/>
  <c r="Z25" i="2"/>
  <c r="Z26" i="2"/>
  <c r="R16" i="2"/>
  <c r="P16" i="2"/>
  <c r="P34" i="2"/>
  <c r="P10" i="2"/>
  <c r="AE14" i="2"/>
  <c r="AJ54" i="2"/>
  <c r="AG53" i="2"/>
  <c r="AG59" i="2"/>
  <c r="AJ60" i="2"/>
  <c r="AE60" i="2"/>
  <c r="AG65" i="2"/>
  <c r="AE65" i="2"/>
  <c r="AG71" i="2"/>
  <c r="AE71" i="2"/>
  <c r="AE72" i="2"/>
  <c r="AE185" i="2"/>
  <c r="AE186" i="2"/>
  <c r="AG209" i="2"/>
  <c r="AE209" i="2"/>
  <c r="AE204" i="2"/>
  <c r="W378" i="2"/>
  <c r="U378" i="2"/>
  <c r="U379" i="2"/>
  <c r="AH431" i="2"/>
  <c r="AC430" i="2"/>
  <c r="AD430" i="2"/>
  <c r="AC431" i="2"/>
  <c r="AI440" i="2"/>
  <c r="AD440" i="2"/>
  <c r="AJ393" i="2"/>
  <c r="D475" i="2"/>
  <c r="I476" i="2"/>
  <c r="D479" i="2"/>
  <c r="Z314" i="2"/>
  <c r="Z315" i="2" s="1"/>
  <c r="X316" i="2"/>
  <c r="X315" i="2"/>
  <c r="W34" i="2"/>
  <c r="U34" i="2"/>
  <c r="W10" i="2"/>
  <c r="U11" i="2"/>
  <c r="AG304" i="2"/>
  <c r="AE304" i="2"/>
  <c r="O176" i="2"/>
  <c r="O277" i="2"/>
  <c r="M346" i="2"/>
  <c r="N283" i="2"/>
  <c r="AC473" i="2"/>
  <c r="I406" i="2"/>
  <c r="G336" i="2"/>
  <c r="AJ250" i="2"/>
  <c r="AE486" i="2"/>
  <c r="R177" i="2"/>
  <c r="U260" i="2"/>
  <c r="Y315" i="2"/>
  <c r="Z13" i="2"/>
  <c r="F314" i="2"/>
  <c r="P330" i="2"/>
  <c r="Z304" i="2"/>
  <c r="X472" i="2"/>
  <c r="M275" i="2"/>
  <c r="E472" i="2"/>
  <c r="W332" i="2"/>
  <c r="V276" i="2"/>
  <c r="W269" i="2"/>
  <c r="S487" i="2"/>
  <c r="T460" i="2"/>
  <c r="N386" i="2"/>
  <c r="I386" i="2"/>
  <c r="S316" i="2"/>
  <c r="N316" i="2"/>
  <c r="R301" i="2"/>
  <c r="U302" i="2"/>
  <c r="W16" i="2"/>
  <c r="U17" i="2"/>
  <c r="Z17" i="2"/>
  <c r="K22" i="2"/>
  <c r="M22" i="2"/>
  <c r="K23" i="2"/>
  <c r="AG28" i="2"/>
  <c r="AE28" i="2"/>
  <c r="AJ29" i="2"/>
  <c r="AJ458" i="2"/>
  <c r="AE457" i="2"/>
  <c r="AJ470" i="2"/>
  <c r="J89" i="2"/>
  <c r="Y176" i="2"/>
  <c r="X176" i="2"/>
  <c r="AA275" i="2"/>
  <c r="AA177" i="2"/>
  <c r="AA277" i="2"/>
  <c r="Z175" i="2"/>
  <c r="AB176" i="2" s="1"/>
  <c r="AH275" i="2"/>
  <c r="AH176" i="2"/>
  <c r="K356" i="2"/>
  <c r="F355" i="2"/>
  <c r="F418" i="2"/>
  <c r="H355" i="2"/>
  <c r="U29" i="2"/>
  <c r="AJ322" i="2"/>
  <c r="AH252" i="2"/>
  <c r="AJ305" i="2"/>
  <c r="K234" i="2"/>
  <c r="U35" i="2"/>
  <c r="P88" i="2"/>
  <c r="T177" i="2"/>
  <c r="K88" i="2"/>
  <c r="K126" i="2" s="1"/>
  <c r="AE427" i="2"/>
  <c r="Y461" i="2"/>
  <c r="Z305" i="2"/>
  <c r="AE322" i="2"/>
  <c r="AH224" i="2"/>
  <c r="AJ308" i="2"/>
  <c r="AJ287" i="2"/>
  <c r="AD235" i="2"/>
  <c r="AJ14" i="2"/>
  <c r="I86" i="2"/>
  <c r="S89" i="2"/>
  <c r="O177" i="2"/>
  <c r="AA276" i="2"/>
  <c r="I385" i="2"/>
  <c r="W355" i="2"/>
  <c r="K428" i="2"/>
  <c r="Q41" i="2"/>
  <c r="L339" i="2"/>
  <c r="P39" i="2"/>
  <c r="P125" i="2" s="1"/>
  <c r="R430" i="2"/>
  <c r="P430" i="2"/>
  <c r="R448" i="2"/>
  <c r="P448" i="2"/>
  <c r="V220" i="2"/>
  <c r="AA222" i="2" s="1"/>
  <c r="V277" i="2"/>
  <c r="AI431" i="2"/>
  <c r="AD431" i="2"/>
  <c r="AG434" i="2"/>
  <c r="AB484" i="2"/>
  <c r="AC433" i="2"/>
  <c r="K485" i="2"/>
  <c r="J385" i="2"/>
  <c r="P307" i="2"/>
  <c r="R307" i="2"/>
  <c r="J239" i="2"/>
  <c r="AC41" i="2"/>
  <c r="H407" i="2"/>
  <c r="J277" i="2"/>
  <c r="U201" i="2"/>
  <c r="W219" i="2"/>
  <c r="N218" i="2"/>
  <c r="L219" i="2"/>
  <c r="B276" i="2"/>
  <c r="AE66" i="2"/>
  <c r="D83" i="2"/>
  <c r="U26" i="2"/>
  <c r="AJ290" i="2"/>
  <c r="AE299" i="2"/>
  <c r="AB433" i="2"/>
  <c r="S407" i="2"/>
  <c r="Y385" i="2"/>
  <c r="T385" i="2"/>
  <c r="K314" i="2"/>
  <c r="K315" i="2" s="1"/>
  <c r="AI252" i="2"/>
  <c r="E218" i="2"/>
  <c r="AD50" i="2"/>
  <c r="U68" i="2"/>
  <c r="Z69" i="2"/>
  <c r="R13" i="2"/>
  <c r="P13" i="2"/>
  <c r="AG25" i="2"/>
  <c r="AE25" i="2"/>
  <c r="AG263" i="2"/>
  <c r="AE263" i="2"/>
  <c r="AJ267" i="2"/>
  <c r="AG266" i="2"/>
  <c r="AE266" i="2"/>
  <c r="AE267" i="2"/>
  <c r="AJ446" i="2"/>
  <c r="AE445" i="2"/>
  <c r="AF401" i="2"/>
  <c r="AE399" i="2"/>
  <c r="AG400" i="2" s="1"/>
  <c r="X36" i="2"/>
  <c r="X41" i="2"/>
  <c r="T36" i="2"/>
  <c r="Y41" i="2"/>
  <c r="Q36" i="2"/>
  <c r="V41" i="2"/>
  <c r="N89" i="2"/>
  <c r="X90" i="2"/>
  <c r="AE88" i="2"/>
  <c r="AJ88" i="2"/>
  <c r="AJ126" i="2" s="1"/>
  <c r="AG90" i="2"/>
  <c r="AH89" i="2"/>
  <c r="F234" i="2"/>
  <c r="G237" i="2"/>
  <c r="G239" i="2" s="1"/>
  <c r="I236" i="2"/>
  <c r="J235" i="2"/>
  <c r="N236" i="2"/>
  <c r="P175" i="2"/>
  <c r="P176" i="2" s="1"/>
  <c r="R237" i="2"/>
  <c r="R239" i="2" s="1"/>
  <c r="S235" i="2"/>
  <c r="R236" i="2"/>
  <c r="U234" i="2"/>
  <c r="W235" i="2" s="1"/>
  <c r="V197" i="2"/>
  <c r="V195" i="2"/>
  <c r="V275" i="2"/>
  <c r="V177" i="2"/>
  <c r="AC177" i="2"/>
  <c r="X275" i="2"/>
  <c r="X177" i="2"/>
  <c r="AA197" i="2"/>
  <c r="AF177" i="2"/>
  <c r="AA195" i="2"/>
  <c r="AH277" i="2"/>
  <c r="AH276" i="2"/>
  <c r="AH177" i="2"/>
  <c r="AI176" i="2"/>
  <c r="F282" i="2"/>
  <c r="G346" i="2"/>
  <c r="L284" i="2"/>
  <c r="G284" i="2"/>
  <c r="G348" i="2"/>
  <c r="G295" i="2"/>
  <c r="G293" i="2"/>
  <c r="J350" i="2"/>
  <c r="O284" i="2"/>
  <c r="J346" i="2"/>
  <c r="J284" i="2"/>
  <c r="J348" i="2"/>
  <c r="J347" i="2"/>
  <c r="J283" i="2"/>
  <c r="M348" i="2"/>
  <c r="M284" i="2"/>
  <c r="M347" i="2"/>
  <c r="R284" i="2"/>
  <c r="N335" i="2"/>
  <c r="N336" i="2"/>
  <c r="O335" i="2"/>
  <c r="V350" i="2"/>
  <c r="AA336" i="2"/>
  <c r="V336" i="2"/>
  <c r="V337" i="2"/>
  <c r="AA350" i="2"/>
  <c r="AA346" i="2"/>
  <c r="AA347" i="2"/>
  <c r="AA295" i="2"/>
  <c r="AA293" i="2"/>
  <c r="AA348" i="2"/>
  <c r="AE334" i="2"/>
  <c r="AE336" i="2" s="1"/>
  <c r="AC335" i="2"/>
  <c r="AC337" i="2"/>
  <c r="AH336" i="2"/>
  <c r="AD335" i="2"/>
  <c r="AH350" i="2"/>
  <c r="AH283" i="2"/>
  <c r="AH284" i="2"/>
  <c r="AH348" i="2"/>
  <c r="AH346" i="2"/>
  <c r="G421" i="2"/>
  <c r="G408" i="2"/>
  <c r="L407" i="2"/>
  <c r="G407" i="2"/>
  <c r="I421" i="2"/>
  <c r="I408" i="2"/>
  <c r="I410" i="2" s="1"/>
  <c r="N407" i="2"/>
  <c r="I407" i="2"/>
  <c r="M421" i="2"/>
  <c r="R407" i="2"/>
  <c r="M407" i="2"/>
  <c r="U417" i="2"/>
  <c r="U355" i="2"/>
  <c r="V421" i="2"/>
  <c r="V408" i="2"/>
  <c r="V407" i="2"/>
  <c r="X421" i="2"/>
  <c r="X408" i="2"/>
  <c r="X413" i="2" s="1"/>
  <c r="X406" i="2"/>
  <c r="X407" i="2"/>
  <c r="AC407" i="2"/>
  <c r="Y406" i="2"/>
  <c r="AE355" i="2"/>
  <c r="AE419" i="2"/>
  <c r="AG355" i="2"/>
  <c r="AJ356" i="2"/>
  <c r="AF421" i="2"/>
  <c r="D488" i="2"/>
  <c r="D472" i="2"/>
  <c r="M427" i="2"/>
  <c r="K427" i="2"/>
  <c r="K486" i="2"/>
  <c r="N472" i="2"/>
  <c r="M474" i="2"/>
  <c r="M479" i="2" s="1"/>
  <c r="R488" i="2"/>
  <c r="S472" i="2"/>
  <c r="W473" i="2"/>
  <c r="R474" i="2"/>
  <c r="R479" i="2" s="1"/>
  <c r="V488" i="2"/>
  <c r="V474" i="2"/>
  <c r="V479" i="2" s="1"/>
  <c r="V473" i="2"/>
  <c r="X473" i="2"/>
  <c r="X474" i="2"/>
  <c r="X479" i="2" s="1"/>
  <c r="AF488" i="2"/>
  <c r="AF473" i="2"/>
  <c r="AJ427" i="2"/>
  <c r="AJ487" i="2"/>
  <c r="AJ428" i="2"/>
  <c r="AJ486" i="2"/>
  <c r="W286" i="2"/>
  <c r="AB251" i="2"/>
  <c r="AE308" i="2"/>
  <c r="Y218" i="2"/>
  <c r="AB401" i="2"/>
  <c r="AG401" i="2"/>
  <c r="G393" i="2"/>
  <c r="G386" i="2"/>
  <c r="P375" i="2"/>
  <c r="R375" i="2"/>
  <c r="U376" i="2"/>
  <c r="AJ31" i="2"/>
  <c r="R31" i="2"/>
  <c r="P31" i="2"/>
  <c r="AB329" i="2"/>
  <c r="Z329" i="2"/>
  <c r="AE330" i="2"/>
  <c r="H329" i="2"/>
  <c r="F329" i="2"/>
  <c r="R298" i="2"/>
  <c r="P298" i="2"/>
  <c r="K301" i="2"/>
  <c r="M301" i="2"/>
  <c r="AB254" i="2"/>
  <c r="Z254" i="2"/>
  <c r="AB229" i="2"/>
  <c r="Z229" i="2"/>
  <c r="P192" i="2"/>
  <c r="U51" i="2"/>
  <c r="G219" i="2"/>
  <c r="Z66" i="2"/>
  <c r="AE446" i="2"/>
  <c r="U186" i="2"/>
  <c r="W68" i="2"/>
  <c r="AB65" i="2"/>
  <c r="Z183" i="2"/>
  <c r="M191" i="2"/>
  <c r="K330" i="2"/>
  <c r="S461" i="2"/>
  <c r="AE273" i="2"/>
  <c r="W304" i="2"/>
  <c r="Q470" i="2"/>
  <c r="P468" i="2"/>
  <c r="R469" i="2" s="1"/>
  <c r="R466" i="2"/>
  <c r="P466" i="2"/>
  <c r="N461" i="2"/>
  <c r="O460" i="2"/>
  <c r="N487" i="2"/>
  <c r="U434" i="2"/>
  <c r="R433" i="2"/>
  <c r="C413" i="2"/>
  <c r="D409" i="2"/>
  <c r="AJ62" i="2"/>
  <c r="AJ182" i="2"/>
  <c r="AJ469" i="2"/>
  <c r="K404" i="2"/>
  <c r="F384" i="2"/>
  <c r="F385" i="2" s="1"/>
  <c r="F419" i="2"/>
  <c r="U305" i="2"/>
  <c r="Z255" i="2"/>
  <c r="G349" i="2"/>
  <c r="AC400" i="2"/>
  <c r="S400" i="2"/>
  <c r="U449" i="2"/>
  <c r="Y400" i="2"/>
  <c r="AJ334" i="2"/>
  <c r="AJ282" i="2"/>
  <c r="AC251" i="2"/>
  <c r="AI414" i="2"/>
  <c r="K470" i="2"/>
  <c r="M469" i="2"/>
  <c r="C487" i="2"/>
  <c r="D460" i="2"/>
  <c r="R439" i="2"/>
  <c r="P439" i="2"/>
  <c r="K436" i="2"/>
  <c r="M436" i="2"/>
  <c r="Z430" i="2"/>
  <c r="AB430" i="2"/>
  <c r="H448" i="2"/>
  <c r="F485" i="2"/>
  <c r="F448" i="2"/>
  <c r="K433" i="2"/>
  <c r="M433" i="2"/>
  <c r="Y413" i="2"/>
  <c r="AB393" i="2"/>
  <c r="AC394" i="2" s="1"/>
  <c r="AG386" i="2"/>
  <c r="P378" i="2"/>
  <c r="R378" i="2"/>
  <c r="AB391" i="2"/>
  <c r="AE392" i="2"/>
  <c r="P418" i="2"/>
  <c r="P388" i="2"/>
  <c r="U389" i="2"/>
  <c r="R388" i="2"/>
  <c r="AE372" i="2"/>
  <c r="AE417" i="2"/>
  <c r="K372" i="2"/>
  <c r="K417" i="2"/>
  <c r="AB342" i="2"/>
  <c r="S338" i="2"/>
  <c r="R342" i="2"/>
  <c r="S343" i="2" s="1"/>
  <c r="W339" i="2"/>
  <c r="AF325" i="2"/>
  <c r="Z323" i="2"/>
  <c r="Z324" i="2" s="1"/>
  <c r="S349" i="2"/>
  <c r="S324" i="2"/>
  <c r="AC315" i="2"/>
  <c r="U308" i="2"/>
  <c r="Z308" i="2"/>
  <c r="S242" i="2"/>
  <c r="T238" i="2"/>
  <c r="V233" i="2"/>
  <c r="Q233" i="2"/>
  <c r="U228" i="2"/>
  <c r="W230" i="2"/>
  <c r="AC225" i="2"/>
  <c r="AC224" i="2"/>
  <c r="X225" i="2"/>
  <c r="X277" i="2"/>
  <c r="Y224" i="2"/>
  <c r="S220" i="2"/>
  <c r="U223" i="2"/>
  <c r="U224" i="2" s="1"/>
  <c r="S277" i="2"/>
  <c r="S225" i="2"/>
  <c r="N220" i="2"/>
  <c r="N224" i="2"/>
  <c r="N277" i="2"/>
  <c r="N225" i="2"/>
  <c r="I220" i="2"/>
  <c r="I224" i="2"/>
  <c r="D277" i="2"/>
  <c r="F223" i="2"/>
  <c r="D224" i="2"/>
  <c r="K212" i="2"/>
  <c r="P213" i="2"/>
  <c r="P204" i="2"/>
  <c r="M203" i="2"/>
  <c r="K201" i="2"/>
  <c r="K200" i="2"/>
  <c r="M200" i="2"/>
  <c r="K484" i="2"/>
  <c r="AG388" i="2"/>
  <c r="AE418" i="2"/>
  <c r="AE388" i="2"/>
  <c r="AH420" i="2"/>
  <c r="AH394" i="2"/>
  <c r="AH395" i="2"/>
  <c r="AC479" i="2"/>
  <c r="AD475" i="2"/>
  <c r="M372" i="2"/>
  <c r="AI394" i="2"/>
  <c r="AI420" i="2"/>
  <c r="AB239" i="2"/>
  <c r="W242" i="2"/>
  <c r="AB244" i="2" s="1"/>
  <c r="E420" i="2"/>
  <c r="L342" i="2"/>
  <c r="L344" i="2" s="1"/>
  <c r="X276" i="2"/>
  <c r="AC350" i="2"/>
  <c r="Z217" i="2"/>
  <c r="AC219" i="2"/>
  <c r="H325" i="2"/>
  <c r="AE305" i="2"/>
  <c r="P290" i="2"/>
  <c r="AE429" i="2"/>
  <c r="AG430" i="2" s="1"/>
  <c r="AC439" i="2"/>
  <c r="AE432" i="2"/>
  <c r="AJ434" i="2" s="1"/>
  <c r="K334" i="2"/>
  <c r="AB339" i="2"/>
  <c r="E224" i="2"/>
  <c r="AF51" i="2"/>
  <c r="Z84" i="2"/>
  <c r="AE26" i="2"/>
  <c r="AE258" i="2"/>
  <c r="AF87" i="2"/>
  <c r="Z32" i="2"/>
  <c r="K307" i="2"/>
  <c r="H487" i="2"/>
  <c r="H461" i="2"/>
  <c r="K445" i="2"/>
  <c r="P446" i="2"/>
  <c r="M445" i="2"/>
  <c r="P308" i="2"/>
  <c r="W349" i="2"/>
  <c r="P83" i="2"/>
  <c r="R83" i="2"/>
  <c r="V323" i="2"/>
  <c r="U323" i="2" s="1"/>
  <c r="U314" i="2"/>
  <c r="AA316" i="2"/>
  <c r="U298" i="2"/>
  <c r="Z299" i="2"/>
  <c r="U321" i="2"/>
  <c r="Z322" i="2"/>
  <c r="W321" i="2"/>
  <c r="B220" i="2"/>
  <c r="B277" i="2"/>
  <c r="R209" i="2"/>
  <c r="P209" i="2"/>
  <c r="P191" i="2"/>
  <c r="R191" i="2"/>
  <c r="R179" i="2"/>
  <c r="P179" i="2"/>
  <c r="U59" i="2"/>
  <c r="W59" i="2"/>
  <c r="U439" i="2"/>
  <c r="W439" i="2"/>
  <c r="P436" i="2"/>
  <c r="P437" i="2"/>
  <c r="K430" i="2"/>
  <c r="P431" i="2"/>
  <c r="M430" i="2"/>
  <c r="F486" i="2"/>
  <c r="K458" i="2"/>
  <c r="P449" i="2"/>
  <c r="M448" i="2"/>
  <c r="K449" i="2"/>
  <c r="P433" i="2"/>
  <c r="P434" i="2"/>
  <c r="M403" i="2"/>
  <c r="P404" i="2"/>
  <c r="N420" i="2"/>
  <c r="O394" i="2"/>
  <c r="AH386" i="2"/>
  <c r="AC385" i="2"/>
  <c r="AC386" i="2"/>
  <c r="X386" i="2"/>
  <c r="X393" i="2"/>
  <c r="X420" i="2" s="1"/>
  <c r="S393" i="2"/>
  <c r="S385" i="2"/>
  <c r="S386" i="2"/>
  <c r="M369" i="2"/>
  <c r="K369" i="2"/>
  <c r="U388" i="2"/>
  <c r="U418" i="2"/>
  <c r="N41" i="2"/>
  <c r="I41" i="2"/>
  <c r="D40" i="2"/>
  <c r="Z28" i="2"/>
  <c r="AB28" i="2"/>
  <c r="AF220" i="2"/>
  <c r="AF222" i="2" s="1"/>
  <c r="AF277" i="2"/>
  <c r="Q401" i="2"/>
  <c r="U299" i="2"/>
  <c r="U204" i="2"/>
  <c r="F217" i="2"/>
  <c r="L84" i="2"/>
  <c r="F82" i="2"/>
  <c r="AE57" i="2"/>
  <c r="AE69" i="2"/>
  <c r="AF474" i="2"/>
  <c r="AJ87" i="2"/>
  <c r="AG372" i="2"/>
  <c r="AD434" i="2"/>
  <c r="L316" i="2"/>
  <c r="P322" i="2"/>
  <c r="K217" i="2"/>
  <c r="Z31" i="2"/>
  <c r="E88" i="2"/>
  <c r="H278" i="2"/>
  <c r="H488" i="2"/>
  <c r="AJ22" i="2"/>
  <c r="AJ263" i="2"/>
  <c r="AC300" i="2"/>
  <c r="AC302" i="2" s="1"/>
  <c r="F31" i="2"/>
  <c r="B88" i="2"/>
  <c r="G175" i="2"/>
  <c r="G278" i="2" s="1"/>
  <c r="AD479" i="2"/>
  <c r="AI481" i="2" s="1"/>
  <c r="AI476" i="2"/>
  <c r="F469" i="2"/>
  <c r="H469" i="2"/>
  <c r="AE467" i="2"/>
  <c r="AB466" i="2"/>
  <c r="M466" i="2"/>
  <c r="K466" i="2"/>
  <c r="P467" i="2"/>
  <c r="R487" i="2"/>
  <c r="R461" i="2"/>
  <c r="S460" i="2"/>
  <c r="M461" i="2"/>
  <c r="P459" i="2"/>
  <c r="P487" i="2" s="1"/>
  <c r="N460" i="2"/>
  <c r="L386" i="2"/>
  <c r="L393" i="2"/>
  <c r="L420" i="2" s="1"/>
  <c r="AF420" i="2"/>
  <c r="AF395" i="2"/>
  <c r="W393" i="2"/>
  <c r="AB386" i="2"/>
  <c r="T220" i="2"/>
  <c r="T225" i="2"/>
  <c r="T224" i="2"/>
  <c r="O220" i="2"/>
  <c r="P223" i="2"/>
  <c r="O224" i="2"/>
  <c r="R212" i="2"/>
  <c r="U213" i="2"/>
  <c r="P212" i="2"/>
  <c r="P200" i="2"/>
  <c r="R200" i="2"/>
  <c r="S218" i="2"/>
  <c r="U217" i="2"/>
  <c r="U218" i="2" s="1"/>
  <c r="R219" i="2"/>
  <c r="R276" i="2"/>
  <c r="P217" i="2"/>
  <c r="M219" i="2"/>
  <c r="M276" i="2"/>
  <c r="M209" i="2"/>
  <c r="K209" i="2"/>
  <c r="P180" i="2"/>
  <c r="M179" i="2"/>
  <c r="U182" i="2"/>
  <c r="U183" i="2"/>
  <c r="Z57" i="2"/>
  <c r="W56" i="2"/>
  <c r="M41" i="2"/>
  <c r="H41" i="2"/>
  <c r="K39" i="2"/>
  <c r="K125" i="2" s="1"/>
  <c r="K13" i="2"/>
  <c r="M13" i="2"/>
  <c r="P14" i="2"/>
  <c r="AB34" i="2"/>
  <c r="Z35" i="2"/>
  <c r="P22" i="2"/>
  <c r="P23" i="2"/>
  <c r="Z11" i="2"/>
  <c r="AB10" i="2"/>
  <c r="AE10" i="2"/>
  <c r="AE11" i="2"/>
  <c r="AE35" i="2"/>
  <c r="AG34" i="2"/>
  <c r="AJ17" i="2"/>
  <c r="AE16" i="2"/>
  <c r="AJ180" i="2"/>
  <c r="AE180" i="2"/>
  <c r="AE191" i="2"/>
  <c r="AG191" i="2"/>
  <c r="AE201" i="2"/>
  <c r="AG200" i="2"/>
  <c r="M342" i="2"/>
  <c r="M413" i="2"/>
  <c r="U445" i="2"/>
  <c r="W445" i="2"/>
  <c r="AI401" i="2"/>
  <c r="AD400" i="2"/>
  <c r="T400" i="2"/>
  <c r="T401" i="2"/>
  <c r="N401" i="2"/>
  <c r="N400" i="2"/>
  <c r="S401" i="2"/>
  <c r="F400" i="2"/>
  <c r="H400" i="2"/>
  <c r="AF386" i="2"/>
  <c r="Z384" i="2"/>
  <c r="AB385" i="2" s="1"/>
  <c r="M378" i="2"/>
  <c r="P379" i="2"/>
  <c r="K378" i="2"/>
  <c r="AB375" i="2"/>
  <c r="Z375" i="2"/>
  <c r="W391" i="2"/>
  <c r="U419" i="2"/>
  <c r="U391" i="2"/>
  <c r="K388" i="2"/>
  <c r="M388" i="2"/>
  <c r="AA342" i="2"/>
  <c r="AF344" i="2" s="1"/>
  <c r="AF339" i="2"/>
  <c r="C342" i="2"/>
  <c r="H344" i="2" s="1"/>
  <c r="H339" i="2"/>
  <c r="P333" i="2"/>
  <c r="K332" i="2"/>
  <c r="U329" i="2"/>
  <c r="U330" i="2"/>
  <c r="D324" i="2"/>
  <c r="D349" i="2"/>
  <c r="AG316" i="2"/>
  <c r="AB316" i="2"/>
  <c r="AE314" i="2"/>
  <c r="AE315" i="2" s="1"/>
  <c r="P304" i="2"/>
  <c r="P305" i="2"/>
  <c r="R304" i="2"/>
  <c r="K298" i="2"/>
  <c r="P299" i="2"/>
  <c r="K318" i="2"/>
  <c r="K319" i="2"/>
  <c r="Z301" i="2"/>
  <c r="Z302" i="2"/>
  <c r="W289" i="2"/>
  <c r="U290" i="2"/>
  <c r="U289" i="2"/>
  <c r="R286" i="2"/>
  <c r="P286" i="2"/>
  <c r="P287" i="2"/>
  <c r="U287" i="2"/>
  <c r="Z267" i="2"/>
  <c r="W266" i="2"/>
  <c r="W257" i="2"/>
  <c r="Z258" i="2"/>
  <c r="R230" i="2"/>
  <c r="S229" i="2"/>
  <c r="R229" i="2"/>
  <c r="AC220" i="2"/>
  <c r="AC221" i="2" s="1"/>
  <c r="AH225" i="2"/>
  <c r="AE223" i="2"/>
  <c r="AG224" i="2" s="1"/>
  <c r="AC277" i="2"/>
  <c r="X220" i="2"/>
  <c r="X224" i="2"/>
  <c r="W469" i="2"/>
  <c r="U369" i="2"/>
  <c r="X385" i="2"/>
  <c r="W185" i="2"/>
  <c r="W329" i="2"/>
  <c r="E277" i="2"/>
  <c r="U266" i="2"/>
  <c r="AJ485" i="2"/>
  <c r="AJ448" i="2"/>
  <c r="I460" i="2"/>
  <c r="K459" i="2"/>
  <c r="K460" i="2" s="1"/>
  <c r="J460" i="2"/>
  <c r="AI454" i="2"/>
  <c r="W31" i="2"/>
  <c r="B36" i="2"/>
  <c r="AG239" i="2"/>
  <c r="AA379" i="2"/>
  <c r="AJ13" i="2"/>
  <c r="AE437" i="2"/>
  <c r="AG244" i="2"/>
  <c r="AJ203" i="2"/>
  <c r="AJ69" i="2"/>
  <c r="AJ258" i="2"/>
  <c r="AJ437" i="2"/>
  <c r="AJ264" i="2"/>
  <c r="AJ257" i="2"/>
  <c r="K467" i="2"/>
  <c r="I461" i="2"/>
  <c r="B350" i="2"/>
  <c r="F334" i="2"/>
  <c r="AJ204" i="2"/>
  <c r="AJ63" i="2"/>
  <c r="AJ56" i="2"/>
  <c r="AE436" i="2"/>
  <c r="AJ68" i="2"/>
  <c r="Z290" i="2"/>
  <c r="AD224" i="2"/>
  <c r="AJ318" i="2"/>
  <c r="AB448" i="2"/>
  <c r="Z485" i="2"/>
  <c r="Z433" i="2"/>
  <c r="AB403" i="2"/>
  <c r="AE404" i="2"/>
  <c r="Z399" i="2"/>
  <c r="AB400" i="2" s="1"/>
  <c r="Y401" i="2"/>
  <c r="Z372" i="2"/>
  <c r="AE373" i="2"/>
  <c r="Z417" i="2"/>
  <c r="Z373" i="2"/>
  <c r="R25" i="2"/>
  <c r="P25" i="2"/>
  <c r="AG56" i="2"/>
  <c r="AE56" i="2"/>
  <c r="AJ57" i="2"/>
  <c r="AG62" i="2"/>
  <c r="AE63" i="2"/>
  <c r="AE68" i="2"/>
  <c r="AG68" i="2"/>
  <c r="R445" i="2"/>
  <c r="U446" i="2"/>
  <c r="U437" i="2"/>
  <c r="W436" i="2"/>
  <c r="U436" i="2"/>
  <c r="M457" i="2"/>
  <c r="K457" i="2"/>
  <c r="AI386" i="2"/>
  <c r="AE384" i="2"/>
  <c r="AJ386" i="2" s="1"/>
  <c r="AD385" i="2"/>
  <c r="AD393" i="2"/>
  <c r="AD394" i="2" s="1"/>
  <c r="AD386" i="2"/>
  <c r="V393" i="2"/>
  <c r="AA395" i="2" s="1"/>
  <c r="U384" i="2"/>
  <c r="Q393" i="2"/>
  <c r="Q420" i="2" s="1"/>
  <c r="P384" i="2"/>
  <c r="Q386" i="2"/>
  <c r="J386" i="2"/>
  <c r="O386" i="2"/>
  <c r="J393" i="2"/>
  <c r="J395" i="2" s="1"/>
  <c r="U375" i="2"/>
  <c r="Z376" i="2"/>
  <c r="R369" i="2"/>
  <c r="P370" i="2"/>
  <c r="U392" i="2"/>
  <c r="P392" i="2"/>
  <c r="P391" i="2"/>
  <c r="AE389" i="2"/>
  <c r="AB388" i="2"/>
  <c r="F388" i="2"/>
  <c r="K389" i="2"/>
  <c r="AB191" i="2"/>
  <c r="Z191" i="2"/>
  <c r="W65" i="2"/>
  <c r="U65" i="2"/>
  <c r="Z62" i="2"/>
  <c r="AB62" i="2"/>
  <c r="Z63" i="2"/>
  <c r="Z54" i="2"/>
  <c r="W53" i="2"/>
  <c r="O87" i="2"/>
  <c r="J87" i="2"/>
  <c r="J83" i="2"/>
  <c r="N84" i="2"/>
  <c r="I84" i="2"/>
  <c r="Z330" i="2"/>
  <c r="M289" i="2"/>
  <c r="K289" i="2"/>
  <c r="AB286" i="2"/>
  <c r="Z286" i="2"/>
  <c r="AD251" i="2"/>
  <c r="AC252" i="2"/>
  <c r="R220" i="2"/>
  <c r="R225" i="2"/>
  <c r="R277" i="2"/>
  <c r="M220" i="2"/>
  <c r="M225" i="2"/>
  <c r="H220" i="2"/>
  <c r="H225" i="2"/>
  <c r="AB212" i="2"/>
  <c r="Z212" i="2"/>
  <c r="AJ372" i="2"/>
  <c r="AJ373" i="2"/>
  <c r="AJ417" i="2"/>
  <c r="AE460" i="2"/>
  <c r="AD460" i="2"/>
  <c r="H401" i="2"/>
  <c r="K399" i="2"/>
  <c r="M400" i="2" s="1"/>
  <c r="T349" i="2"/>
  <c r="Y325" i="2"/>
  <c r="E349" i="2"/>
  <c r="J325" i="2"/>
  <c r="E324" i="2"/>
  <c r="AC316" i="2"/>
  <c r="AD315" i="2"/>
  <c r="M316" i="2"/>
  <c r="M323" i="2"/>
  <c r="M349" i="2" s="1"/>
  <c r="N315" i="2"/>
  <c r="P318" i="2"/>
  <c r="P319" i="2"/>
  <c r="AG298" i="2"/>
  <c r="AE298" i="2"/>
  <c r="AJ299" i="2"/>
  <c r="AE470" i="2"/>
  <c r="AE469" i="2"/>
  <c r="AG469" i="2"/>
  <c r="AD379" i="2"/>
  <c r="AD378" i="2"/>
  <c r="AI379" i="2"/>
  <c r="AA455" i="2"/>
  <c r="G455" i="2"/>
  <c r="U32" i="2"/>
  <c r="M278" i="2"/>
  <c r="AJ403" i="2"/>
  <c r="AJ419" i="2"/>
  <c r="W278" i="2"/>
  <c r="N350" i="2"/>
  <c r="T350" i="2"/>
  <c r="AJ392" i="2"/>
  <c r="L278" i="2"/>
  <c r="AH414" i="2"/>
  <c r="Z437" i="2"/>
  <c r="I278" i="2"/>
  <c r="X350" i="2"/>
  <c r="G461" i="2"/>
  <c r="T242" i="2"/>
  <c r="U399" i="2"/>
  <c r="D88" i="2"/>
  <c r="B278" i="2"/>
  <c r="X278" i="2"/>
  <c r="O350" i="2"/>
  <c r="U405" i="2"/>
  <c r="AE405" i="2"/>
  <c r="E385" i="2"/>
  <c r="U370" i="2"/>
  <c r="O315" i="2"/>
  <c r="Z213" i="2"/>
  <c r="AG51" i="2"/>
  <c r="P32" i="2"/>
  <c r="N278" i="2"/>
  <c r="I350" i="2"/>
  <c r="U373" i="2"/>
  <c r="G41" i="2"/>
  <c r="Q350" i="2"/>
  <c r="U282" i="2"/>
  <c r="AJ388" i="2"/>
  <c r="AJ389" i="2"/>
  <c r="AE448" i="2"/>
  <c r="AJ449" i="2"/>
  <c r="AF350" i="2"/>
  <c r="AE282" i="2"/>
  <c r="AF295" i="2"/>
  <c r="AF349" i="2"/>
  <c r="AF300" i="2"/>
  <c r="AF284" i="2"/>
  <c r="AF293" i="2"/>
  <c r="E408" i="2"/>
  <c r="E406" i="2"/>
  <c r="AI421" i="2"/>
  <c r="AI407" i="2"/>
  <c r="AI406" i="2"/>
  <c r="Z484" i="2"/>
  <c r="AE428" i="2"/>
  <c r="AA488" i="2"/>
  <c r="AA474" i="2"/>
  <c r="AC242" i="2"/>
  <c r="AH239" i="2"/>
  <c r="AA420" i="2"/>
  <c r="AC413" i="2"/>
  <c r="AH410" i="2"/>
  <c r="AG448" i="2"/>
  <c r="X325" i="2"/>
  <c r="X349" i="2"/>
  <c r="X324" i="2"/>
  <c r="Y324" i="2"/>
  <c r="AE449" i="2"/>
  <c r="AJ418" i="2"/>
  <c r="J407" i="2"/>
  <c r="AE485" i="2"/>
  <c r="M439" i="2"/>
  <c r="K439" i="2"/>
  <c r="P440" i="2"/>
  <c r="U430" i="2"/>
  <c r="U431" i="2"/>
  <c r="Z431" i="2"/>
  <c r="R457" i="2"/>
  <c r="P486" i="2"/>
  <c r="P458" i="2"/>
  <c r="M401" i="2"/>
  <c r="R401" i="2"/>
  <c r="H393" i="2"/>
  <c r="K384" i="2"/>
  <c r="P376" i="2"/>
  <c r="K375" i="2"/>
  <c r="Z370" i="2"/>
  <c r="Z369" i="2"/>
  <c r="AE370" i="2"/>
  <c r="B342" i="2"/>
  <c r="G344" i="2" s="1"/>
  <c r="G339" i="2"/>
  <c r="AF333" i="2"/>
  <c r="Z331" i="2"/>
  <c r="L333" i="2"/>
  <c r="G333" i="2"/>
  <c r="R321" i="2"/>
  <c r="U322" i="2"/>
  <c r="U318" i="2"/>
  <c r="Z319" i="2"/>
  <c r="U319" i="2"/>
  <c r="K286" i="2"/>
  <c r="M286" i="2"/>
  <c r="Z273" i="2"/>
  <c r="Z272" i="2"/>
  <c r="U254" i="2"/>
  <c r="W254" i="2"/>
  <c r="AB263" i="2"/>
  <c r="AE264" i="2"/>
  <c r="R203" i="2"/>
  <c r="P203" i="2"/>
  <c r="W200" i="2"/>
  <c r="Z201" i="2"/>
  <c r="Y51" i="2"/>
  <c r="AD51" i="2"/>
  <c r="W86" i="2"/>
  <c r="U86" i="2"/>
  <c r="Z87" i="2"/>
  <c r="M87" i="2"/>
  <c r="K85" i="2"/>
  <c r="D86" i="2"/>
  <c r="F85" i="2"/>
  <c r="H84" i="2"/>
  <c r="K82" i="2"/>
  <c r="I83" i="2"/>
  <c r="J41" i="2"/>
  <c r="O41" i="2"/>
  <c r="J40" i="2"/>
  <c r="F39" i="2"/>
  <c r="E40" i="2"/>
  <c r="K35" i="2"/>
  <c r="P35" i="2"/>
  <c r="M10" i="2"/>
  <c r="K11" i="2"/>
  <c r="AE23" i="2"/>
  <c r="AG22" i="2"/>
  <c r="AE22" i="2"/>
  <c r="AE13" i="2"/>
  <c r="AG13" i="2"/>
  <c r="AE53" i="2"/>
  <c r="AE54" i="2"/>
  <c r="AG212" i="2"/>
  <c r="AE212" i="2"/>
  <c r="AJ213" i="2"/>
  <c r="AE213" i="2"/>
  <c r="AE255" i="2"/>
  <c r="AJ255" i="2"/>
  <c r="AG269" i="2"/>
  <c r="AJ270" i="2"/>
  <c r="AE287" i="2"/>
  <c r="AG286" i="2"/>
  <c r="AJ376" i="2"/>
  <c r="AG375" i="2"/>
  <c r="AE376" i="2"/>
  <c r="AI324" i="2"/>
  <c r="AH349" i="2"/>
  <c r="AC487" i="2"/>
  <c r="AH461" i="2"/>
  <c r="AJ430" i="2"/>
  <c r="AJ439" i="2"/>
  <c r="AJ466" i="2"/>
  <c r="Y239" i="2"/>
  <c r="I420" i="2"/>
  <c r="N395" i="2"/>
  <c r="W430" i="2"/>
  <c r="P399" i="2"/>
  <c r="P400" i="2" s="1"/>
  <c r="Z436" i="2"/>
  <c r="AB436" i="2"/>
  <c r="AJ378" i="2"/>
  <c r="AF348" i="2"/>
  <c r="R386" i="2"/>
  <c r="R393" i="2"/>
  <c r="W386" i="2"/>
  <c r="J344" i="2"/>
  <c r="K343" i="2"/>
  <c r="J242" i="2"/>
  <c r="AH220" i="2"/>
  <c r="AJ269" i="2"/>
  <c r="AD439" i="2"/>
  <c r="AC440" i="2"/>
  <c r="AH440" i="2"/>
  <c r="AE438" i="2"/>
  <c r="AE440" i="2" s="1"/>
  <c r="AI434" i="2"/>
  <c r="AD433" i="2"/>
  <c r="AF455" i="2"/>
  <c r="AB90" i="2"/>
  <c r="W90" i="2"/>
  <c r="AJ433" i="2"/>
  <c r="AJ484" i="2"/>
  <c r="AE458" i="2"/>
  <c r="AB457" i="2"/>
  <c r="Y220" i="2"/>
  <c r="Y225" i="2"/>
  <c r="AJ314" i="2"/>
  <c r="U16" i="2"/>
  <c r="W212" i="2"/>
  <c r="L225" i="2"/>
  <c r="Z223" i="2"/>
  <c r="N323" i="2"/>
  <c r="R436" i="2"/>
  <c r="F457" i="2"/>
  <c r="AF461" i="2"/>
  <c r="AJ26" i="2"/>
  <c r="V461" i="2"/>
  <c r="Q461" i="2"/>
  <c r="M391" i="2"/>
  <c r="K391" i="2"/>
  <c r="F200" i="2"/>
  <c r="H200" i="2"/>
  <c r="R50" i="2"/>
  <c r="X51" i="2"/>
  <c r="AJ312" i="2"/>
  <c r="L350" i="2"/>
  <c r="G488" i="2"/>
  <c r="G88" i="2"/>
  <c r="G126" i="2" s="1"/>
  <c r="K418" i="2"/>
  <c r="AH401" i="2"/>
  <c r="Z287" i="2"/>
  <c r="M318" i="2"/>
  <c r="Q333" i="2"/>
  <c r="AA386" i="2"/>
  <c r="M386" i="2"/>
  <c r="AE32" i="2"/>
  <c r="AE31" i="2"/>
  <c r="AJ32" i="2"/>
  <c r="AG31" i="2"/>
  <c r="K32" i="2"/>
  <c r="K31" i="2"/>
  <c r="Z282" i="2"/>
  <c r="T278" i="2"/>
  <c r="AA278" i="2"/>
  <c r="AD278" i="2"/>
  <c r="AI278" i="2"/>
  <c r="K471" i="2"/>
  <c r="AE382" i="2"/>
  <c r="O278" i="2"/>
  <c r="R278" i="2"/>
  <c r="F471" i="2"/>
  <c r="Z471" i="2"/>
  <c r="AJ313" i="2"/>
  <c r="V278" i="2"/>
  <c r="Y278" i="2"/>
  <c r="AF278" i="2"/>
  <c r="AH278" i="2"/>
  <c r="D350" i="2"/>
  <c r="K405" i="2"/>
  <c r="AJ488" i="2"/>
  <c r="AH476" i="2"/>
  <c r="AI480" i="2"/>
  <c r="AJ479" i="2"/>
  <c r="AH480" i="2"/>
  <c r="AD413" i="2"/>
  <c r="AD410" i="2"/>
  <c r="AD409" i="2"/>
  <c r="L479" i="2"/>
  <c r="X460" i="2"/>
  <c r="X461" i="2"/>
  <c r="Z459" i="2"/>
  <c r="AB460" i="2" s="1"/>
  <c r="AC461" i="2"/>
  <c r="X487" i="2"/>
  <c r="Y460" i="2"/>
  <c r="E487" i="2"/>
  <c r="E460" i="2"/>
  <c r="J461" i="2"/>
  <c r="F459" i="2"/>
  <c r="H445" i="2"/>
  <c r="F445" i="2"/>
  <c r="K446" i="2"/>
  <c r="AB439" i="2"/>
  <c r="Z439" i="2"/>
  <c r="Z440" i="2"/>
  <c r="K392" i="2"/>
  <c r="F391" i="2"/>
  <c r="P372" i="2"/>
  <c r="R372" i="2"/>
  <c r="P373" i="2"/>
  <c r="Q323" i="2"/>
  <c r="P314" i="2"/>
  <c r="V316" i="2"/>
  <c r="Q316" i="2"/>
  <c r="L325" i="2"/>
  <c r="F323" i="2"/>
  <c r="G325" i="2"/>
  <c r="M321" i="2"/>
  <c r="K321" i="2"/>
  <c r="K322" i="2"/>
  <c r="Z289" i="2"/>
  <c r="AE290" i="2"/>
  <c r="AB289" i="2"/>
  <c r="Z269" i="2"/>
  <c r="Z270" i="2"/>
  <c r="AE270" i="2"/>
  <c r="AB269" i="2"/>
  <c r="U263" i="2"/>
  <c r="Z264" i="2"/>
  <c r="AB260" i="2"/>
  <c r="Z261" i="2"/>
  <c r="Z260" i="2"/>
  <c r="AE250" i="2"/>
  <c r="AD252" i="2"/>
  <c r="W251" i="2"/>
  <c r="Z252" i="2"/>
  <c r="W232" i="2"/>
  <c r="U232" i="2"/>
  <c r="U233" i="2"/>
  <c r="Z233" i="2"/>
  <c r="J220" i="2"/>
  <c r="J225" i="2"/>
  <c r="O225" i="2"/>
  <c r="K223" i="2"/>
  <c r="J224" i="2"/>
  <c r="T218" i="2"/>
  <c r="Y219" i="2"/>
  <c r="T276" i="2"/>
  <c r="T219" i="2"/>
  <c r="F337" i="2"/>
  <c r="E338" i="2"/>
  <c r="D342" i="2"/>
  <c r="AE218" i="2"/>
  <c r="AD461" i="2"/>
  <c r="AD487" i="2"/>
  <c r="AI461" i="2"/>
  <c r="H332" i="2"/>
  <c r="K333" i="2"/>
  <c r="AG420" i="2"/>
  <c r="AG260" i="2"/>
  <c r="AE261" i="2"/>
  <c r="X50" i="2"/>
  <c r="P11" i="2"/>
  <c r="Z23" i="2"/>
  <c r="W22" i="2"/>
  <c r="M34" i="2"/>
  <c r="M329" i="2"/>
  <c r="K329" i="2"/>
  <c r="W220" i="2"/>
  <c r="W225" i="2"/>
  <c r="AB225" i="2"/>
  <c r="Y50" i="2"/>
  <c r="U23" i="2"/>
  <c r="K34" i="2"/>
  <c r="AE260" i="2"/>
  <c r="AB83" i="2"/>
  <c r="Z83" i="2"/>
  <c r="AC51" i="2"/>
  <c r="H403" i="2"/>
  <c r="F403" i="2"/>
  <c r="U307" i="2"/>
  <c r="W307" i="2"/>
  <c r="AD220" i="2"/>
  <c r="AI222" i="2" s="1"/>
  <c r="AD225" i="2"/>
  <c r="G220" i="2"/>
  <c r="G225" i="2"/>
  <c r="V455" i="2"/>
  <c r="AJ383" i="2"/>
  <c r="AE312" i="2"/>
  <c r="Q222" i="2"/>
  <c r="G350" i="2"/>
  <c r="K282" i="2"/>
  <c r="K348" i="2" s="1"/>
  <c r="P282" i="2"/>
  <c r="M350" i="2"/>
  <c r="X488" i="2"/>
  <c r="U334" i="2"/>
  <c r="P405" i="2"/>
  <c r="AJ405" i="2"/>
  <c r="AC421" i="2"/>
  <c r="P334" i="2"/>
  <c r="F405" i="2"/>
  <c r="Z405" i="2"/>
  <c r="P471" i="2"/>
  <c r="AE471" i="2"/>
  <c r="AH238" i="2" l="1"/>
  <c r="AF239" i="2"/>
  <c r="AB413" i="2"/>
  <c r="AG415" i="2" s="1"/>
  <c r="G38" i="2"/>
  <c r="AJ335" i="2"/>
  <c r="E479" i="2"/>
  <c r="Q38" i="2"/>
  <c r="S37" i="2"/>
  <c r="AA38" i="2"/>
  <c r="AI37" i="2"/>
  <c r="AH38" i="2"/>
  <c r="AF38" i="2"/>
  <c r="T420" i="2"/>
  <c r="AE36" i="2"/>
  <c r="AE37" i="2" s="1"/>
  <c r="AJ218" i="2"/>
  <c r="O96" i="2"/>
  <c r="R410" i="2"/>
  <c r="Y410" i="2"/>
  <c r="Z237" i="2"/>
  <c r="Z238" i="2" s="1"/>
  <c r="X239" i="2"/>
  <c r="V38" i="2"/>
  <c r="AD96" i="2"/>
  <c r="K94" i="2"/>
  <c r="M95" i="2" s="1"/>
  <c r="T481" i="2"/>
  <c r="W38" i="2"/>
  <c r="AB410" i="2"/>
  <c r="U475" i="2"/>
  <c r="Y476" i="2"/>
  <c r="X38" i="2"/>
  <c r="T476" i="2"/>
  <c r="N342" i="2"/>
  <c r="S344" i="2" s="1"/>
  <c r="T410" i="2"/>
  <c r="W413" i="2"/>
  <c r="W415" i="2" s="1"/>
  <c r="T239" i="2"/>
  <c r="F474" i="2"/>
  <c r="H475" i="2" s="1"/>
  <c r="O239" i="2"/>
  <c r="AA410" i="2"/>
  <c r="AE278" i="2"/>
  <c r="U470" i="2"/>
  <c r="AG38" i="2"/>
  <c r="AH37" i="2"/>
  <c r="AD37" i="2"/>
  <c r="P236" i="2"/>
  <c r="AC37" i="2"/>
  <c r="X96" i="2"/>
  <c r="H96" i="2"/>
  <c r="P235" i="2"/>
  <c r="Z278" i="2"/>
  <c r="AI338" i="2"/>
  <c r="O413" i="2"/>
  <c r="W475" i="2"/>
  <c r="O409" i="2"/>
  <c r="G476" i="2"/>
  <c r="J479" i="2"/>
  <c r="J480" i="2" s="1"/>
  <c r="AB38" i="2"/>
  <c r="O37" i="2"/>
  <c r="Z94" i="2"/>
  <c r="AB95" i="2" s="1"/>
  <c r="O480" i="2"/>
  <c r="AA99" i="2"/>
  <c r="AF101" i="2" s="1"/>
  <c r="Y475" i="2"/>
  <c r="AB301" i="2"/>
  <c r="AB346" i="2"/>
  <c r="X95" i="2"/>
  <c r="AI95" i="2"/>
  <c r="AA244" i="2"/>
  <c r="T96" i="2"/>
  <c r="J476" i="2"/>
  <c r="AB317" i="2"/>
  <c r="AB323" i="2" s="1"/>
  <c r="W410" i="2"/>
  <c r="T338" i="2"/>
  <c r="O410" i="2"/>
  <c r="M176" i="2"/>
  <c r="F393" i="2"/>
  <c r="F394" i="2" s="1"/>
  <c r="L38" i="2"/>
  <c r="P470" i="2"/>
  <c r="Y339" i="2"/>
  <c r="AH95" i="2"/>
  <c r="K275" i="2"/>
  <c r="U337" i="2"/>
  <c r="W338" i="2" s="1"/>
  <c r="T38" i="2"/>
  <c r="T339" i="2"/>
  <c r="B94" i="2"/>
  <c r="B99" i="2" s="1"/>
  <c r="B126" i="2"/>
  <c r="Q410" i="2"/>
  <c r="M169" i="2"/>
  <c r="H169" i="2"/>
  <c r="F125" i="2"/>
  <c r="D94" i="2"/>
  <c r="D126" i="2"/>
  <c r="E94" i="2"/>
  <c r="E126" i="2"/>
  <c r="AE89" i="2"/>
  <c r="AE126" i="2"/>
  <c r="P89" i="2"/>
  <c r="P126" i="2"/>
  <c r="AJ169" i="2"/>
  <c r="AJ125" i="2"/>
  <c r="AB89" i="2"/>
  <c r="Z126" i="2"/>
  <c r="X169" i="2"/>
  <c r="T95" i="2"/>
  <c r="I169" i="2"/>
  <c r="S38" i="2"/>
  <c r="R38" i="2"/>
  <c r="W89" i="2"/>
  <c r="U126" i="2"/>
  <c r="AC169" i="2"/>
  <c r="Z125" i="2"/>
  <c r="W101" i="2"/>
  <c r="Y395" i="2"/>
  <c r="Y95" i="2"/>
  <c r="AD38" i="2"/>
  <c r="P40" i="2"/>
  <c r="P169" i="2"/>
  <c r="AG338" i="2"/>
  <c r="AE169" i="2"/>
  <c r="AG169" i="2"/>
  <c r="S169" i="2"/>
  <c r="AI169" i="2"/>
  <c r="R169" i="2"/>
  <c r="AH169" i="2"/>
  <c r="N37" i="2"/>
  <c r="Y344" i="2"/>
  <c r="Z408" i="2"/>
  <c r="AB409" i="2" s="1"/>
  <c r="AH99" i="2"/>
  <c r="H99" i="2"/>
  <c r="H101" i="2" s="1"/>
  <c r="AI38" i="2"/>
  <c r="U176" i="2"/>
  <c r="AG344" i="2"/>
  <c r="AH338" i="2"/>
  <c r="L413" i="2"/>
  <c r="Q96" i="2"/>
  <c r="O476" i="2"/>
  <c r="Y96" i="2"/>
  <c r="AB169" i="2"/>
  <c r="J169" i="2"/>
  <c r="Z169" i="2"/>
  <c r="X339" i="2"/>
  <c r="AG339" i="2"/>
  <c r="X100" i="2"/>
  <c r="V420" i="2"/>
  <c r="AG235" i="2"/>
  <c r="Z40" i="2"/>
  <c r="AJ224" i="2"/>
  <c r="AE235" i="2"/>
  <c r="K169" i="2"/>
  <c r="K337" i="2"/>
  <c r="K338" i="2" s="1"/>
  <c r="AE40" i="2"/>
  <c r="U40" i="2"/>
  <c r="U169" i="2"/>
  <c r="T169" i="2"/>
  <c r="Y169" i="2"/>
  <c r="O169" i="2"/>
  <c r="W169" i="2"/>
  <c r="N169" i="2"/>
  <c r="AD169" i="2"/>
  <c r="P36" i="2"/>
  <c r="P37" i="2" s="1"/>
  <c r="H410" i="2"/>
  <c r="I395" i="2"/>
  <c r="F232" i="2"/>
  <c r="AG40" i="2"/>
  <c r="Z89" i="2"/>
  <c r="Y409" i="2"/>
  <c r="H413" i="2"/>
  <c r="M415" i="2" s="1"/>
  <c r="I342" i="2"/>
  <c r="AJ276" i="2"/>
  <c r="AC410" i="2"/>
  <c r="M339" i="2"/>
  <c r="AJ236" i="2"/>
  <c r="S409" i="2"/>
  <c r="AA339" i="2"/>
  <c r="T37" i="2"/>
  <c r="AJ350" i="2"/>
  <c r="AJ237" i="2"/>
  <c r="AJ238" i="2" s="1"/>
  <c r="F237" i="2"/>
  <c r="H238" i="2" s="1"/>
  <c r="AJ278" i="2"/>
  <c r="U235" i="2"/>
  <c r="K487" i="2"/>
  <c r="AB476" i="2"/>
  <c r="AH96" i="2"/>
  <c r="N338" i="2"/>
  <c r="AC96" i="2"/>
  <c r="AE50" i="2"/>
  <c r="P275" i="2"/>
  <c r="J338" i="2"/>
  <c r="S413" i="2"/>
  <c r="X415" i="2" s="1"/>
  <c r="AJ401" i="2"/>
  <c r="AB40" i="2"/>
  <c r="P469" i="2"/>
  <c r="I409" i="2"/>
  <c r="I339" i="2"/>
  <c r="AA239" i="2"/>
  <c r="AG302" i="2"/>
  <c r="K233" i="2"/>
  <c r="W40" i="2"/>
  <c r="Z176" i="2"/>
  <c r="N242" i="2"/>
  <c r="O243" i="2" s="1"/>
  <c r="V413" i="2"/>
  <c r="Z276" i="2"/>
  <c r="AG222" i="2"/>
  <c r="AJ36" i="2"/>
  <c r="Z275" i="2"/>
  <c r="I95" i="2"/>
  <c r="K89" i="2"/>
  <c r="O475" i="2"/>
  <c r="M460" i="2"/>
  <c r="AI395" i="2"/>
  <c r="Z177" i="2"/>
  <c r="Z479" i="2"/>
  <c r="P408" i="2"/>
  <c r="R409" i="2" s="1"/>
  <c r="G242" i="2"/>
  <c r="G244" i="2" s="1"/>
  <c r="AE219" i="2"/>
  <c r="AE236" i="2"/>
  <c r="X238" i="2"/>
  <c r="AJ89" i="2"/>
  <c r="AB344" i="2"/>
  <c r="AI342" i="2"/>
  <c r="U236" i="2"/>
  <c r="P177" i="2"/>
  <c r="J413" i="2"/>
  <c r="X475" i="2"/>
  <c r="Y238" i="2"/>
  <c r="S95" i="2"/>
  <c r="AJ323" i="2"/>
  <c r="AJ324" i="2" s="1"/>
  <c r="Z219" i="2"/>
  <c r="P277" i="2"/>
  <c r="R176" i="2"/>
  <c r="U177" i="2"/>
  <c r="X480" i="2"/>
  <c r="Z235" i="2"/>
  <c r="N475" i="2"/>
  <c r="S481" i="2"/>
  <c r="Y343" i="2"/>
  <c r="Q344" i="2"/>
  <c r="R101" i="2"/>
  <c r="H479" i="2"/>
  <c r="H481" i="2" s="1"/>
  <c r="AE277" i="2"/>
  <c r="L239" i="2"/>
  <c r="X242" i="2"/>
  <c r="AC244" i="2" s="1"/>
  <c r="K474" i="2"/>
  <c r="M475" i="2" s="1"/>
  <c r="AC476" i="2"/>
  <c r="N476" i="2"/>
  <c r="AB218" i="2"/>
  <c r="Q476" i="2"/>
  <c r="W96" i="2"/>
  <c r="P278" i="2"/>
  <c r="Q413" i="2"/>
  <c r="Q415" i="2" s="1"/>
  <c r="AF96" i="2"/>
  <c r="O238" i="2"/>
  <c r="AC475" i="2"/>
  <c r="Y38" i="2"/>
  <c r="U36" i="2"/>
  <c r="U37" i="2" s="1"/>
  <c r="AJ251" i="2"/>
  <c r="AB479" i="2"/>
  <c r="AC480" i="2" s="1"/>
  <c r="Y338" i="2"/>
  <c r="AA96" i="2"/>
  <c r="N100" i="2"/>
  <c r="G222" i="2"/>
  <c r="T475" i="2"/>
  <c r="N238" i="2"/>
  <c r="V96" i="2"/>
  <c r="U94" i="2"/>
  <c r="W95" i="2" s="1"/>
  <c r="X343" i="2"/>
  <c r="Z337" i="2"/>
  <c r="AB338" i="2" s="1"/>
  <c r="AC339" i="2"/>
  <c r="M96" i="2"/>
  <c r="AE400" i="2"/>
  <c r="V339" i="2"/>
  <c r="X338" i="2"/>
  <c r="Q339" i="2"/>
  <c r="G410" i="2"/>
  <c r="R96" i="2"/>
  <c r="X101" i="2"/>
  <c r="AC346" i="2"/>
  <c r="T243" i="2"/>
  <c r="E394" i="2"/>
  <c r="AE177" i="2"/>
  <c r="Q239" i="2"/>
  <c r="Z90" i="2"/>
  <c r="D394" i="2"/>
  <c r="U89" i="2"/>
  <c r="V244" i="2"/>
  <c r="Q244" i="2"/>
  <c r="N222" i="2"/>
  <c r="G420" i="2"/>
  <c r="AJ346" i="2"/>
  <c r="AJ177" i="2"/>
  <c r="V239" i="2"/>
  <c r="AE176" i="2"/>
  <c r="AE90" i="2"/>
  <c r="AE276" i="2"/>
  <c r="AG176" i="2"/>
  <c r="AD302" i="2"/>
  <c r="AI302" i="2"/>
  <c r="AD346" i="2"/>
  <c r="AD317" i="2"/>
  <c r="P474" i="2"/>
  <c r="U476" i="2" s="1"/>
  <c r="O222" i="2"/>
  <c r="AC317" i="2"/>
  <c r="AD318" i="2" s="1"/>
  <c r="AG385" i="2"/>
  <c r="X476" i="2"/>
  <c r="P237" i="2"/>
  <c r="P239" i="2" s="1"/>
  <c r="I221" i="2"/>
  <c r="W476" i="2"/>
  <c r="T480" i="2"/>
  <c r="AD301" i="2"/>
  <c r="AE385" i="2"/>
  <c r="AI238" i="2"/>
  <c r="T325" i="2"/>
  <c r="R476" i="2"/>
  <c r="V349" i="2"/>
  <c r="K316" i="2"/>
  <c r="S476" i="2"/>
  <c r="X222" i="2"/>
  <c r="X481" i="2"/>
  <c r="N239" i="2"/>
  <c r="N95" i="2"/>
  <c r="S410" i="2"/>
  <c r="AD238" i="2"/>
  <c r="N413" i="2"/>
  <c r="N414" i="2" s="1"/>
  <c r="N409" i="2"/>
  <c r="I475" i="2"/>
  <c r="AE225" i="2"/>
  <c r="AI99" i="2"/>
  <c r="M235" i="2"/>
  <c r="P94" i="2"/>
  <c r="R95" i="2" s="1"/>
  <c r="P401" i="2"/>
  <c r="AE350" i="2"/>
  <c r="U393" i="2"/>
  <c r="W394" i="2" s="1"/>
  <c r="M395" i="2"/>
  <c r="U41" i="2"/>
  <c r="AD480" i="2"/>
  <c r="AE335" i="2"/>
  <c r="AJ94" i="2"/>
  <c r="AJ95" i="2" s="1"/>
  <c r="X37" i="2"/>
  <c r="AE224" i="2"/>
  <c r="S96" i="2"/>
  <c r="I349" i="2"/>
  <c r="AE484" i="2"/>
  <c r="G395" i="2"/>
  <c r="M324" i="2"/>
  <c r="M238" i="2"/>
  <c r="AC481" i="2"/>
  <c r="AG395" i="2"/>
  <c r="V476" i="2"/>
  <c r="U276" i="2"/>
  <c r="AJ225" i="2"/>
  <c r="V325" i="2"/>
  <c r="Z36" i="2"/>
  <c r="Y37" i="2"/>
  <c r="AC38" i="2"/>
  <c r="I238" i="2"/>
  <c r="AJ347" i="2"/>
  <c r="AE431" i="2"/>
  <c r="I99" i="2"/>
  <c r="J100" i="2" s="1"/>
  <c r="J238" i="2"/>
  <c r="W176" i="2"/>
  <c r="U237" i="2"/>
  <c r="U238" i="2" s="1"/>
  <c r="K408" i="2"/>
  <c r="AJ336" i="2"/>
  <c r="R242" i="2"/>
  <c r="R244" i="2" s="1"/>
  <c r="AJ277" i="2"/>
  <c r="U278" i="2"/>
  <c r="R400" i="2"/>
  <c r="Y222" i="2"/>
  <c r="AG89" i="2"/>
  <c r="U277" i="2"/>
  <c r="AJ51" i="2"/>
  <c r="AJ348" i="2"/>
  <c r="AA325" i="2"/>
  <c r="AE430" i="2"/>
  <c r="K278" i="2"/>
  <c r="U90" i="2"/>
  <c r="V222" i="2"/>
  <c r="K235" i="2"/>
  <c r="P225" i="2"/>
  <c r="Q395" i="2"/>
  <c r="AJ431" i="2"/>
  <c r="AJ283" i="2"/>
  <c r="AJ284" i="2"/>
  <c r="S238" i="2"/>
  <c r="W239" i="2"/>
  <c r="AG335" i="2"/>
  <c r="W481" i="2"/>
  <c r="K236" i="2"/>
  <c r="Y394" i="2"/>
  <c r="P461" i="2"/>
  <c r="F350" i="2"/>
  <c r="R222" i="2"/>
  <c r="AC222" i="2"/>
  <c r="T222" i="2"/>
  <c r="AH221" i="2"/>
  <c r="AH481" i="2"/>
  <c r="AG433" i="2"/>
  <c r="P41" i="2"/>
  <c r="AI239" i="2"/>
  <c r="AE378" i="2"/>
  <c r="AD239" i="2"/>
  <c r="AE386" i="2"/>
  <c r="AG315" i="2"/>
  <c r="AD243" i="2"/>
  <c r="Z316" i="2"/>
  <c r="M325" i="2"/>
  <c r="T344" i="2"/>
  <c r="S475" i="2"/>
  <c r="W218" i="2"/>
  <c r="N394" i="2"/>
  <c r="W315" i="2"/>
  <c r="U316" i="2"/>
  <c r="AB420" i="2"/>
  <c r="AE408" i="2"/>
  <c r="AG409" i="2" s="1"/>
  <c r="X410" i="2"/>
  <c r="O95" i="2"/>
  <c r="AF410" i="2"/>
  <c r="W344" i="2"/>
  <c r="U401" i="2"/>
  <c r="R460" i="2"/>
  <c r="N325" i="2"/>
  <c r="AH222" i="2"/>
  <c r="AE316" i="2"/>
  <c r="W224" i="2"/>
  <c r="F408" i="2"/>
  <c r="F409" i="2" s="1"/>
  <c r="AE41" i="2"/>
  <c r="L410" i="2"/>
  <c r="R89" i="2"/>
  <c r="Y420" i="2"/>
  <c r="M89" i="2"/>
  <c r="P90" i="2"/>
  <c r="N339" i="2"/>
  <c r="AB315" i="2"/>
  <c r="O349" i="2"/>
  <c r="J324" i="2"/>
  <c r="AE401" i="2"/>
  <c r="M476" i="2"/>
  <c r="U408" i="2"/>
  <c r="W409" i="2" s="1"/>
  <c r="AE379" i="2"/>
  <c r="V410" i="2"/>
  <c r="Z41" i="2"/>
  <c r="X221" i="2"/>
  <c r="R325" i="2"/>
  <c r="I324" i="2"/>
  <c r="U315" i="2"/>
  <c r="X409" i="2"/>
  <c r="Z342" i="2"/>
  <c r="Z343" i="2" s="1"/>
  <c r="AJ41" i="2"/>
  <c r="H385" i="2"/>
  <c r="AE433" i="2"/>
  <c r="V342" i="2"/>
  <c r="AE237" i="2"/>
  <c r="AC101" i="2"/>
  <c r="K386" i="2"/>
  <c r="J409" i="2"/>
  <c r="G413" i="2"/>
  <c r="M315" i="2"/>
  <c r="AI244" i="2"/>
  <c r="AE434" i="2"/>
  <c r="R344" i="2"/>
  <c r="AB395" i="2"/>
  <c r="I325" i="2"/>
  <c r="Y414" i="2"/>
  <c r="AJ379" i="2"/>
  <c r="AE94" i="2"/>
  <c r="AE95" i="2" s="1"/>
  <c r="Q101" i="2"/>
  <c r="AG349" i="2"/>
  <c r="AJ90" i="2"/>
  <c r="AC95" i="2"/>
  <c r="R40" i="2"/>
  <c r="O338" i="2"/>
  <c r="P337" i="2"/>
  <c r="AJ176" i="2"/>
  <c r="AB378" i="2"/>
  <c r="Z379" i="2"/>
  <c r="U386" i="2"/>
  <c r="I239" i="2"/>
  <c r="I242" i="2"/>
  <c r="I243" i="2" s="1"/>
  <c r="F315" i="2"/>
  <c r="H315" i="2"/>
  <c r="I413" i="2"/>
  <c r="N410" i="2"/>
  <c r="F348" i="2"/>
  <c r="F283" i="2"/>
  <c r="F347" i="2"/>
  <c r="H283" i="2"/>
  <c r="N324" i="2"/>
  <c r="AB99" i="2"/>
  <c r="AB96" i="2"/>
  <c r="U50" i="2"/>
  <c r="W50" i="2"/>
  <c r="AC342" i="2"/>
  <c r="AE342" i="2" s="1"/>
  <c r="AC338" i="2"/>
  <c r="AD338" i="2"/>
  <c r="AH339" i="2"/>
  <c r="F235" i="2"/>
  <c r="H235" i="2"/>
  <c r="AG99" i="2"/>
  <c r="AG96" i="2"/>
  <c r="Z236" i="2"/>
  <c r="N221" i="2"/>
  <c r="T221" i="2"/>
  <c r="O221" i="2"/>
  <c r="S222" i="2"/>
  <c r="R395" i="2"/>
  <c r="S325" i="2"/>
  <c r="J221" i="2"/>
  <c r="Z218" i="2"/>
  <c r="U220" i="2"/>
  <c r="U221" i="2" s="1"/>
  <c r="S221" i="2"/>
  <c r="P220" i="2"/>
  <c r="R221" i="2" s="1"/>
  <c r="O324" i="2"/>
  <c r="U219" i="2"/>
  <c r="L395" i="2"/>
  <c r="W229" i="2"/>
  <c r="U230" i="2"/>
  <c r="Z230" i="2"/>
  <c r="U229" i="2"/>
  <c r="M335" i="2"/>
  <c r="K335" i="2"/>
  <c r="F224" i="2"/>
  <c r="H224" i="2"/>
  <c r="K218" i="2"/>
  <c r="M218" i="2"/>
  <c r="K219" i="2"/>
  <c r="K276" i="2"/>
  <c r="F83" i="2"/>
  <c r="H83" i="2"/>
  <c r="L222" i="2"/>
  <c r="AE474" i="2"/>
  <c r="J95" i="2"/>
  <c r="N96" i="2"/>
  <c r="J90" i="2"/>
  <c r="AJ408" i="2"/>
  <c r="F218" i="2"/>
  <c r="H218" i="2"/>
  <c r="S420" i="2"/>
  <c r="S395" i="2"/>
  <c r="T394" i="2"/>
  <c r="G195" i="2"/>
  <c r="G276" i="2"/>
  <c r="L177" i="2"/>
  <c r="F175" i="2"/>
  <c r="G177" i="2"/>
  <c r="G277" i="2"/>
  <c r="G275" i="2"/>
  <c r="G197" i="2"/>
  <c r="AH302" i="2"/>
  <c r="AC301" i="2"/>
  <c r="AC395" i="2"/>
  <c r="X395" i="2"/>
  <c r="K220" i="2"/>
  <c r="K221" i="2" s="1"/>
  <c r="W395" i="2"/>
  <c r="M343" i="2"/>
  <c r="X394" i="2"/>
  <c r="H335" i="2"/>
  <c r="F335" i="2"/>
  <c r="K336" i="2"/>
  <c r="K40" i="2"/>
  <c r="M40" i="2"/>
  <c r="Y221" i="2"/>
  <c r="AD420" i="2"/>
  <c r="M344" i="2"/>
  <c r="AE393" i="2"/>
  <c r="AG394" i="2" s="1"/>
  <c r="W420" i="2"/>
  <c r="Z393" i="2"/>
  <c r="AB394" i="2" s="1"/>
  <c r="R224" i="2"/>
  <c r="U225" i="2"/>
  <c r="P224" i="2"/>
  <c r="P460" i="2"/>
  <c r="U461" i="2"/>
  <c r="M222" i="2"/>
  <c r="AF415" i="2"/>
  <c r="AD395" i="2"/>
  <c r="AI243" i="2"/>
  <c r="P219" i="2"/>
  <c r="P276" i="2"/>
  <c r="P218" i="2"/>
  <c r="R218" i="2"/>
  <c r="V395" i="2"/>
  <c r="K401" i="2"/>
  <c r="K400" i="2"/>
  <c r="J420" i="2"/>
  <c r="O395" i="2"/>
  <c r="J394" i="2"/>
  <c r="R385" i="2"/>
  <c r="P385" i="2"/>
  <c r="U385" i="2"/>
  <c r="W385" i="2"/>
  <c r="AI221" i="2"/>
  <c r="AJ220" i="2"/>
  <c r="U347" i="2"/>
  <c r="U346" i="2"/>
  <c r="W283" i="2"/>
  <c r="U348" i="2"/>
  <c r="U283" i="2"/>
  <c r="U400" i="2"/>
  <c r="W400" i="2"/>
  <c r="I90" i="2"/>
  <c r="E89" i="2"/>
  <c r="D89" i="2"/>
  <c r="AB222" i="2"/>
  <c r="AE421" i="2"/>
  <c r="AG406" i="2"/>
  <c r="AE406" i="2"/>
  <c r="AD99" i="2"/>
  <c r="AD100" i="2" s="1"/>
  <c r="AI96" i="2"/>
  <c r="AD95" i="2"/>
  <c r="Z277" i="2"/>
  <c r="U421" i="2"/>
  <c r="U406" i="2"/>
  <c r="W406" i="2"/>
  <c r="T244" i="2"/>
  <c r="Y244" i="2"/>
  <c r="Z224" i="2"/>
  <c r="Z225" i="2"/>
  <c r="AB224" i="2"/>
  <c r="H86" i="2"/>
  <c r="F86" i="2"/>
  <c r="E413" i="2"/>
  <c r="E409" i="2"/>
  <c r="O244" i="2"/>
  <c r="K488" i="2"/>
  <c r="M472" i="2"/>
  <c r="K472" i="2"/>
  <c r="K473" i="2"/>
  <c r="Z347" i="2"/>
  <c r="Z346" i="2"/>
  <c r="AB283" i="2"/>
  <c r="Z283" i="2"/>
  <c r="Z284" i="2"/>
  <c r="Z348" i="2"/>
  <c r="AB332" i="2"/>
  <c r="AE333" i="2"/>
  <c r="Z333" i="2"/>
  <c r="Z332" i="2"/>
  <c r="AH415" i="2"/>
  <c r="AC415" i="2"/>
  <c r="AF476" i="2"/>
  <c r="Z474" i="2"/>
  <c r="Z349" i="2"/>
  <c r="K421" i="2"/>
  <c r="K406" i="2"/>
  <c r="M406" i="2"/>
  <c r="Z488" i="2"/>
  <c r="AB472" i="2"/>
  <c r="Z350" i="2"/>
  <c r="AE439" i="2"/>
  <c r="AG439" i="2"/>
  <c r="AJ440" i="2"/>
  <c r="M83" i="2"/>
  <c r="P84" i="2"/>
  <c r="K84" i="2"/>
  <c r="K83" i="2"/>
  <c r="K86" i="2"/>
  <c r="P87" i="2"/>
  <c r="M86" i="2"/>
  <c r="K87" i="2"/>
  <c r="M385" i="2"/>
  <c r="K385" i="2"/>
  <c r="P386" i="2"/>
  <c r="F488" i="2"/>
  <c r="H472" i="2"/>
  <c r="F472" i="2"/>
  <c r="L90" i="2"/>
  <c r="G94" i="2"/>
  <c r="G90" i="2"/>
  <c r="F88" i="2"/>
  <c r="F126" i="2" s="1"/>
  <c r="AJ316" i="2"/>
  <c r="AJ315" i="2"/>
  <c r="R420" i="2"/>
  <c r="R394" i="2"/>
  <c r="S394" i="2"/>
  <c r="F40" i="2"/>
  <c r="H40" i="2"/>
  <c r="K41" i="2"/>
  <c r="H395" i="2"/>
  <c r="H420" i="2"/>
  <c r="I394" i="2"/>
  <c r="J410" i="2"/>
  <c r="K393" i="2"/>
  <c r="AC243" i="2"/>
  <c r="AE242" i="2"/>
  <c r="AH244" i="2"/>
  <c r="S100" i="2"/>
  <c r="T100" i="2"/>
  <c r="S101" i="2"/>
  <c r="AJ337" i="2"/>
  <c r="AF346" i="2"/>
  <c r="AE300" i="2"/>
  <c r="AF302" i="2"/>
  <c r="AF317" i="2"/>
  <c r="AE284" i="2"/>
  <c r="AG283" i="2"/>
  <c r="AE283" i="2"/>
  <c r="AE348" i="2"/>
  <c r="AE488" i="2"/>
  <c r="AE473" i="2"/>
  <c r="AG472" i="2"/>
  <c r="AE472" i="2"/>
  <c r="AJ473" i="2"/>
  <c r="P350" i="2"/>
  <c r="R335" i="2"/>
  <c r="P336" i="2"/>
  <c r="P335" i="2"/>
  <c r="P347" i="2"/>
  <c r="R283" i="2"/>
  <c r="P283" i="2"/>
  <c r="P348" i="2"/>
  <c r="P346" i="2"/>
  <c r="P284" i="2"/>
  <c r="U284" i="2"/>
  <c r="W222" i="2"/>
  <c r="F338" i="2"/>
  <c r="H338" i="2"/>
  <c r="U349" i="2"/>
  <c r="U324" i="2"/>
  <c r="W324" i="2"/>
  <c r="AJ480" i="2"/>
  <c r="P488" i="2"/>
  <c r="P472" i="2"/>
  <c r="P473" i="2"/>
  <c r="R472" i="2"/>
  <c r="U473" i="2"/>
  <c r="AJ421" i="2"/>
  <c r="AJ406" i="2"/>
  <c r="AJ407" i="2"/>
  <c r="AD222" i="2"/>
  <c r="AD221" i="2"/>
  <c r="Z50" i="2"/>
  <c r="AE51" i="2"/>
  <c r="AB50" i="2"/>
  <c r="Z51" i="2"/>
  <c r="M224" i="2"/>
  <c r="K225" i="2"/>
  <c r="K277" i="2"/>
  <c r="K224" i="2"/>
  <c r="F349" i="2"/>
  <c r="F324" i="2"/>
  <c r="K325" i="2"/>
  <c r="H324" i="2"/>
  <c r="P315" i="2"/>
  <c r="P316" i="2"/>
  <c r="R315" i="2"/>
  <c r="T101" i="2"/>
  <c r="O101" i="2"/>
  <c r="P99" i="2"/>
  <c r="O100" i="2"/>
  <c r="Z325" i="2"/>
  <c r="Z421" i="2"/>
  <c r="AE407" i="2"/>
  <c r="AB406" i="2"/>
  <c r="P421" i="2"/>
  <c r="P407" i="2"/>
  <c r="U407" i="2"/>
  <c r="R406" i="2"/>
  <c r="P406" i="2"/>
  <c r="K350" i="2"/>
  <c r="M283" i="2"/>
  <c r="K284" i="2"/>
  <c r="K283" i="2"/>
  <c r="K346" i="2"/>
  <c r="K347" i="2"/>
  <c r="K349" i="2"/>
  <c r="S480" i="2"/>
  <c r="R481" i="2"/>
  <c r="E343" i="2"/>
  <c r="D343" i="2"/>
  <c r="F342" i="2"/>
  <c r="Q349" i="2"/>
  <c r="Q325" i="2"/>
  <c r="P323" i="2"/>
  <c r="U325" i="2" s="1"/>
  <c r="AD415" i="2"/>
  <c r="AI415" i="2"/>
  <c r="AD414" i="2"/>
  <c r="F479" i="2"/>
  <c r="F480" i="2" s="1"/>
  <c r="V101" i="2"/>
  <c r="U99" i="2"/>
  <c r="F421" i="2"/>
  <c r="K407" i="2"/>
  <c r="H406" i="2"/>
  <c r="F406" i="2"/>
  <c r="U350" i="2"/>
  <c r="W335" i="2"/>
  <c r="Z336" i="2"/>
  <c r="U335" i="2"/>
  <c r="U336" i="2"/>
  <c r="AE220" i="2"/>
  <c r="Z220" i="2"/>
  <c r="AJ242" i="2"/>
  <c r="AJ394" i="2"/>
  <c r="AJ420" i="2"/>
  <c r="V481" i="2"/>
  <c r="Q481" i="2"/>
  <c r="P479" i="2"/>
  <c r="Y101" i="2"/>
  <c r="Y100" i="2"/>
  <c r="AB238" i="2"/>
  <c r="AG251" i="2"/>
  <c r="AE252" i="2"/>
  <c r="AJ252" i="2"/>
  <c r="AE251" i="2"/>
  <c r="H460" i="2"/>
  <c r="K461" i="2"/>
  <c r="F460" i="2"/>
  <c r="F487" i="2"/>
  <c r="L481" i="2"/>
  <c r="AI343" i="2"/>
  <c r="N480" i="2"/>
  <c r="AG37" i="2" l="1"/>
  <c r="Y243" i="2"/>
  <c r="Z99" i="2"/>
  <c r="Z100" i="2" s="1"/>
  <c r="AA101" i="2"/>
  <c r="AE394" i="2"/>
  <c r="AC414" i="2"/>
  <c r="AE38" i="2"/>
  <c r="AE413" i="2"/>
  <c r="AG414" i="2" s="1"/>
  <c r="F475" i="2"/>
  <c r="AE239" i="2"/>
  <c r="AJ37" i="2"/>
  <c r="K95" i="2"/>
  <c r="P342" i="2"/>
  <c r="P343" i="2" s="1"/>
  <c r="N343" i="2"/>
  <c r="I414" i="2"/>
  <c r="U338" i="2"/>
  <c r="Z413" i="2"/>
  <c r="AB414" i="2" s="1"/>
  <c r="N344" i="2"/>
  <c r="P242" i="2"/>
  <c r="R243" i="2" s="1"/>
  <c r="O343" i="2"/>
  <c r="H394" i="2"/>
  <c r="M101" i="2"/>
  <c r="F420" i="2"/>
  <c r="R37" i="2"/>
  <c r="P409" i="2"/>
  <c r="Z338" i="2"/>
  <c r="L244" i="2"/>
  <c r="I344" i="2"/>
  <c r="Z242" i="2"/>
  <c r="Z243" i="2" s="1"/>
  <c r="W37" i="2"/>
  <c r="Z339" i="2"/>
  <c r="R238" i="2"/>
  <c r="O415" i="2"/>
  <c r="Z95" i="2"/>
  <c r="AG319" i="2"/>
  <c r="X243" i="2"/>
  <c r="X244" i="2"/>
  <c r="AE339" i="2"/>
  <c r="P238" i="2"/>
  <c r="O481" i="2"/>
  <c r="J481" i="2"/>
  <c r="I343" i="2"/>
  <c r="AB347" i="2"/>
  <c r="AB318" i="2"/>
  <c r="AH101" i="2"/>
  <c r="AB319" i="2"/>
  <c r="L415" i="2"/>
  <c r="AI344" i="2"/>
  <c r="Z96" i="2"/>
  <c r="O414" i="2"/>
  <c r="AB481" i="2"/>
  <c r="M338" i="2"/>
  <c r="AJ342" i="2"/>
  <c r="AJ343" i="2" s="1"/>
  <c r="AG481" i="2"/>
  <c r="U95" i="2"/>
  <c r="AE479" i="2"/>
  <c r="AG480" i="2" s="1"/>
  <c r="P95" i="2"/>
  <c r="K339" i="2"/>
  <c r="AB480" i="2"/>
  <c r="J343" i="2"/>
  <c r="AI100" i="2"/>
  <c r="U38" i="2"/>
  <c r="P410" i="2"/>
  <c r="Z239" i="2"/>
  <c r="AJ38" i="2"/>
  <c r="S244" i="2"/>
  <c r="F238" i="2"/>
  <c r="K239" i="2"/>
  <c r="N243" i="2"/>
  <c r="U413" i="2"/>
  <c r="U414" i="2" s="1"/>
  <c r="AJ99" i="2"/>
  <c r="AJ100" i="2" s="1"/>
  <c r="K476" i="2"/>
  <c r="S415" i="2"/>
  <c r="P413" i="2"/>
  <c r="P414" i="2" s="1"/>
  <c r="M481" i="2"/>
  <c r="I480" i="2"/>
  <c r="K475" i="2"/>
  <c r="AJ349" i="2"/>
  <c r="K479" i="2"/>
  <c r="M480" i="2" s="1"/>
  <c r="U420" i="2"/>
  <c r="H409" i="2"/>
  <c r="AC347" i="2"/>
  <c r="AE344" i="2"/>
  <c r="AB343" i="2"/>
  <c r="N244" i="2"/>
  <c r="P475" i="2"/>
  <c r="AJ239" i="2"/>
  <c r="R475" i="2"/>
  <c r="U96" i="2"/>
  <c r="AJ96" i="2"/>
  <c r="U395" i="2"/>
  <c r="AC318" i="2"/>
  <c r="U242" i="2"/>
  <c r="U243" i="2" s="1"/>
  <c r="AH319" i="2"/>
  <c r="Z37" i="2"/>
  <c r="AE410" i="2"/>
  <c r="AC323" i="2"/>
  <c r="AC325" i="2" s="1"/>
  <c r="AC319" i="2"/>
  <c r="U410" i="2"/>
  <c r="AE96" i="2"/>
  <c r="P476" i="2"/>
  <c r="AJ221" i="2"/>
  <c r="U409" i="2"/>
  <c r="AD319" i="2"/>
  <c r="AD347" i="2"/>
  <c r="AI319" i="2"/>
  <c r="AD323" i="2"/>
  <c r="AG95" i="2"/>
  <c r="I100" i="2"/>
  <c r="W238" i="2"/>
  <c r="F413" i="2"/>
  <c r="H414" i="2" s="1"/>
  <c r="AE409" i="2"/>
  <c r="U394" i="2"/>
  <c r="P96" i="2"/>
  <c r="AJ222" i="2"/>
  <c r="U239" i="2"/>
  <c r="K99" i="2"/>
  <c r="P101" i="2" s="1"/>
  <c r="N101" i="2"/>
  <c r="J243" i="2"/>
  <c r="S243" i="2"/>
  <c r="W244" i="2"/>
  <c r="AH100" i="2"/>
  <c r="P222" i="2"/>
  <c r="Z38" i="2"/>
  <c r="K413" i="2"/>
  <c r="K409" i="2"/>
  <c r="M409" i="2"/>
  <c r="AE481" i="2"/>
  <c r="P221" i="2"/>
  <c r="AB37" i="2"/>
  <c r="K410" i="2"/>
  <c r="AG238" i="2"/>
  <c r="AE238" i="2"/>
  <c r="AJ395" i="2"/>
  <c r="AE420" i="2"/>
  <c r="U342" i="2"/>
  <c r="V344" i="2"/>
  <c r="AA344" i="2"/>
  <c r="AG101" i="2"/>
  <c r="K242" i="2"/>
  <c r="P338" i="2"/>
  <c r="P339" i="2"/>
  <c r="U339" i="2"/>
  <c r="R338" i="2"/>
  <c r="AE395" i="2"/>
  <c r="AH344" i="2"/>
  <c r="AD343" i="2"/>
  <c r="AC344" i="2"/>
  <c r="M221" i="2"/>
  <c r="U222" i="2"/>
  <c r="AC100" i="2"/>
  <c r="AB101" i="2"/>
  <c r="AC343" i="2"/>
  <c r="N415" i="2"/>
  <c r="I415" i="2"/>
  <c r="J414" i="2"/>
  <c r="W221" i="2"/>
  <c r="AE343" i="2"/>
  <c r="AG343" i="2"/>
  <c r="AJ413" i="2"/>
  <c r="H176" i="2"/>
  <c r="F176" i="2"/>
  <c r="F275" i="2"/>
  <c r="F277" i="2"/>
  <c r="F278" i="2"/>
  <c r="K177" i="2"/>
  <c r="F276" i="2"/>
  <c r="AJ410" i="2"/>
  <c r="AJ409" i="2"/>
  <c r="J96" i="2"/>
  <c r="E99" i="2"/>
  <c r="J101" i="2" s="1"/>
  <c r="AG475" i="2"/>
  <c r="AE475" i="2"/>
  <c r="AJ476" i="2"/>
  <c r="AD101" i="2"/>
  <c r="AI101" i="2"/>
  <c r="AE99" i="2"/>
  <c r="AE100" i="2" s="1"/>
  <c r="AB325" i="2"/>
  <c r="AB324" i="2"/>
  <c r="AG325" i="2"/>
  <c r="AB349" i="2"/>
  <c r="J415" i="2"/>
  <c r="I96" i="2"/>
  <c r="D95" i="2"/>
  <c r="D99" i="2"/>
  <c r="E95" i="2"/>
  <c r="H480" i="2"/>
  <c r="AG243" i="2"/>
  <c r="AE243" i="2"/>
  <c r="F89" i="2"/>
  <c r="H89" i="2"/>
  <c r="K90" i="2"/>
  <c r="AB475" i="2"/>
  <c r="AE476" i="2"/>
  <c r="AE302" i="2"/>
  <c r="AE346" i="2"/>
  <c r="AE301" i="2"/>
  <c r="AJ302" i="2"/>
  <c r="AG301" i="2"/>
  <c r="K420" i="2"/>
  <c r="K395" i="2"/>
  <c r="K394" i="2"/>
  <c r="M394" i="2"/>
  <c r="AF347" i="2"/>
  <c r="AF319" i="2"/>
  <c r="AE317" i="2"/>
  <c r="AJ339" i="2"/>
  <c r="AJ338" i="2"/>
  <c r="G96" i="2"/>
  <c r="F94" i="2"/>
  <c r="G99" i="2"/>
  <c r="L96" i="2"/>
  <c r="Z222" i="2"/>
  <c r="Z221" i="2"/>
  <c r="AB221" i="2"/>
  <c r="P100" i="2"/>
  <c r="R100" i="2"/>
  <c r="AE221" i="2"/>
  <c r="AE222" i="2"/>
  <c r="AG221" i="2"/>
  <c r="AJ244" i="2"/>
  <c r="AJ243" i="2"/>
  <c r="F343" i="2"/>
  <c r="K344" i="2"/>
  <c r="H343" i="2"/>
  <c r="AB100" i="2"/>
  <c r="P480" i="2"/>
  <c r="U481" i="2"/>
  <c r="W100" i="2"/>
  <c r="U100" i="2"/>
  <c r="U101" i="2"/>
  <c r="R324" i="2"/>
  <c r="P349" i="2"/>
  <c r="P325" i="2"/>
  <c r="P324" i="2"/>
  <c r="R480" i="2"/>
  <c r="Z101" i="2" l="1"/>
  <c r="AE414" i="2"/>
  <c r="P344" i="2"/>
  <c r="AE415" i="2"/>
  <c r="AE244" i="2"/>
  <c r="P243" i="2"/>
  <c r="P244" i="2"/>
  <c r="AJ344" i="2"/>
  <c r="AB243" i="2"/>
  <c r="AE480" i="2"/>
  <c r="AD324" i="2"/>
  <c r="W414" i="2"/>
  <c r="K481" i="2"/>
  <c r="P481" i="2"/>
  <c r="K480" i="2"/>
  <c r="P415" i="2"/>
  <c r="U244" i="2"/>
  <c r="AC349" i="2"/>
  <c r="AC324" i="2"/>
  <c r="M100" i="2"/>
  <c r="AH325" i="2"/>
  <c r="AE323" i="2"/>
  <c r="AJ325" i="2" s="1"/>
  <c r="K100" i="2"/>
  <c r="W243" i="2"/>
  <c r="Z244" i="2"/>
  <c r="AJ101" i="2"/>
  <c r="AD349" i="2"/>
  <c r="AI325" i="2"/>
  <c r="AD325" i="2"/>
  <c r="K415" i="2"/>
  <c r="M414" i="2"/>
  <c r="K414" i="2"/>
  <c r="U343" i="2"/>
  <c r="Z344" i="2"/>
  <c r="W343" i="2"/>
  <c r="K243" i="2"/>
  <c r="M243" i="2"/>
  <c r="AJ415" i="2"/>
  <c r="AJ414" i="2"/>
  <c r="AE101" i="2"/>
  <c r="AG100" i="2"/>
  <c r="I101" i="2"/>
  <c r="E100" i="2"/>
  <c r="D100" i="2"/>
  <c r="F99" i="2"/>
  <c r="G101" i="2"/>
  <c r="L101" i="2"/>
  <c r="F95" i="2"/>
  <c r="H95" i="2"/>
  <c r="K96" i="2"/>
  <c r="AG318" i="2"/>
  <c r="AE318" i="2"/>
  <c r="AJ319" i="2"/>
  <c r="AE347" i="2"/>
  <c r="AE319" i="2"/>
  <c r="AG324" i="2" l="1"/>
  <c r="AE324" i="2"/>
  <c r="AE325" i="2"/>
  <c r="AE349" i="2"/>
  <c r="F100" i="2"/>
  <c r="H100" i="2"/>
  <c r="K101" i="2"/>
</calcChain>
</file>

<file path=xl/sharedStrings.xml><?xml version="1.0" encoding="utf-8"?>
<sst xmlns="http://schemas.openxmlformats.org/spreadsheetml/2006/main" count="3727" uniqueCount="279">
  <si>
    <t>Q2</t>
  </si>
  <si>
    <t>Q3</t>
  </si>
  <si>
    <t>Q4</t>
  </si>
  <si>
    <t>Pelephone</t>
  </si>
  <si>
    <t>Bezeq The Israel Telecommunication Corp. Limited</t>
  </si>
  <si>
    <t>FY</t>
  </si>
  <si>
    <t xml:space="preserve">Q1 </t>
  </si>
  <si>
    <t>QoQ Change</t>
  </si>
  <si>
    <t>YoY Change</t>
  </si>
  <si>
    <t>EBITDA</t>
  </si>
  <si>
    <t>EBITDA margin</t>
  </si>
  <si>
    <t>Depreciation &amp; amortization</t>
  </si>
  <si>
    <t>Operating cash flow</t>
  </si>
  <si>
    <t>Free cash flow</t>
  </si>
  <si>
    <t>Net debt</t>
  </si>
  <si>
    <t>Bezeq International</t>
  </si>
  <si>
    <t>Revenues</t>
  </si>
  <si>
    <t>Total debt</t>
  </si>
  <si>
    <t xml:space="preserve">Number of employees </t>
  </si>
  <si>
    <t>Capex/Sales</t>
  </si>
  <si>
    <t>Ratios</t>
  </si>
  <si>
    <t>yes</t>
  </si>
  <si>
    <t xml:space="preserve">Bezeq Investor Relations </t>
  </si>
  <si>
    <t>www.bezeq.co.il</t>
  </si>
  <si>
    <t>For further information:</t>
  </si>
  <si>
    <t>Phone     +9722 539 5441</t>
  </si>
  <si>
    <t>Key Cash Flow Metrics</t>
  </si>
  <si>
    <t>Key Performance Indicators</t>
  </si>
  <si>
    <t>Index of contents</t>
  </si>
  <si>
    <t>Key Income Statement Metrics</t>
  </si>
  <si>
    <t>Net debt / EBITDA (ttm)</t>
  </si>
  <si>
    <t>Operating margin</t>
  </si>
  <si>
    <t>Earnings Per Share - Basic</t>
  </si>
  <si>
    <t>Earnings Per Share - Diluted</t>
  </si>
  <si>
    <t>Shares Outstanding - Diluted</t>
  </si>
  <si>
    <t xml:space="preserve">Shares Outstanding - Basic </t>
  </si>
  <si>
    <t>ARPU</t>
  </si>
  <si>
    <t>=</t>
  </si>
  <si>
    <t>MOU</t>
  </si>
  <si>
    <t>Net margin</t>
  </si>
  <si>
    <t>Glossary</t>
  </si>
  <si>
    <t>ir@bezeq.co.il</t>
  </si>
  <si>
    <t>Net profit</t>
  </si>
  <si>
    <t>Operating profit</t>
  </si>
  <si>
    <t>N/M</t>
  </si>
  <si>
    <t>N/A</t>
  </si>
  <si>
    <t xml:space="preserve">                                      (NIS millions, except for EPS)</t>
  </si>
  <si>
    <t xml:space="preserve">Ratios </t>
  </si>
  <si>
    <t xml:space="preserve">Total incoming minutes (in millions) </t>
  </si>
  <si>
    <t>NM</t>
  </si>
  <si>
    <t>Capital expenditures, gross (accounting)</t>
  </si>
  <si>
    <t>Capital expenditures, gross (cash flow)</t>
  </si>
  <si>
    <t>Capital expenditures, net (cash flow)</t>
  </si>
  <si>
    <t xml:space="preserve">N/A </t>
  </si>
  <si>
    <t xml:space="preserve">GLOSSARY </t>
  </si>
  <si>
    <r>
      <t>Free cash flow</t>
    </r>
    <r>
      <rPr>
        <b/>
        <vertAlign val="superscript"/>
        <sz val="10"/>
        <rFont val="Arial"/>
        <family val="2"/>
      </rPr>
      <t xml:space="preserve"> </t>
    </r>
  </si>
  <si>
    <t>Bezeq Fixed-Line</t>
  </si>
  <si>
    <t xml:space="preserve">Q2 </t>
  </si>
  <si>
    <r>
      <t>Net profit</t>
    </r>
    <r>
      <rPr>
        <b/>
        <sz val="8"/>
        <rFont val="Arial"/>
        <family val="2"/>
      </rPr>
      <t xml:space="preserve"> </t>
    </r>
    <r>
      <rPr>
        <b/>
        <vertAlign val="superscript"/>
        <sz val="8"/>
        <rFont val="Arial"/>
        <family val="2"/>
      </rPr>
      <t>(1)</t>
    </r>
  </si>
  <si>
    <t>Net capital expenditures</t>
  </si>
  <si>
    <t>Average revenue per user</t>
  </si>
  <si>
    <t>Minutes of use</t>
  </si>
  <si>
    <t>Not available</t>
  </si>
  <si>
    <t>Not meaningful</t>
  </si>
  <si>
    <t>Total Revenues</t>
  </si>
  <si>
    <t>Service Revenues</t>
  </si>
  <si>
    <t>Equipment Revenues</t>
  </si>
  <si>
    <t xml:space="preserve">Operating cash flow </t>
  </si>
  <si>
    <t xml:space="preserve">Net profit attributed to Bezeq shareholders </t>
  </si>
  <si>
    <t xml:space="preserve">Operating Profit </t>
  </si>
  <si>
    <t xml:space="preserve">Free cash flow </t>
  </si>
  <si>
    <r>
      <t>Capital expenditures, net (cash flow)</t>
    </r>
    <r>
      <rPr>
        <b/>
        <vertAlign val="superscript"/>
        <sz val="10"/>
        <rFont val="Arial"/>
        <family val="2"/>
      </rPr>
      <t xml:space="preserve"> </t>
    </r>
  </si>
  <si>
    <t xml:space="preserve">Capital expenditures, gross (cash flow) </t>
  </si>
  <si>
    <t xml:space="preserve">Capital expenditures, gross (accounting) </t>
  </si>
  <si>
    <t>Average broadband speed per subscriber (end of period, Mbps)</t>
  </si>
  <si>
    <t>ARPL</t>
  </si>
  <si>
    <t>Average revenue per line</t>
  </si>
  <si>
    <t>Purchase of property, plant &amp; equipment (PPE), plus investments in intangible assets, less proceeds from the sale of PPE</t>
  </si>
  <si>
    <t xml:space="preserve">Subscribers (in 000's) </t>
  </si>
  <si>
    <t xml:space="preserve">ARPU (in NIS) </t>
  </si>
  <si>
    <t xml:space="preserve">Key Income Statement Metrics </t>
  </si>
  <si>
    <t xml:space="preserve">Key Cash Flow Metrics </t>
  </si>
  <si>
    <t>Total outgoing minutes (in millions)</t>
  </si>
  <si>
    <t xml:space="preserve">Total access lines (in 000's) </t>
  </si>
  <si>
    <t xml:space="preserve">ARPL - Voice &amp; fixed fees (in NIS) </t>
  </si>
  <si>
    <t>Salaries</t>
  </si>
  <si>
    <t>Key Income Statement Metrics (Revenues)</t>
  </si>
  <si>
    <t>Cost of sales</t>
  </si>
  <si>
    <t>Sales &amp; marketing expenses</t>
  </si>
  <si>
    <t>General &amp; administrative expenses</t>
  </si>
  <si>
    <t>Operating &amp; general expenses</t>
  </si>
  <si>
    <r>
      <t xml:space="preserve">Bezeq Fixed-Line </t>
    </r>
    <r>
      <rPr>
        <b/>
        <sz val="12"/>
        <rFont val="Arial"/>
        <family val="2"/>
      </rPr>
      <t>(cont'd)</t>
    </r>
  </si>
  <si>
    <t>Interconnect &amp; payments to telecom operators</t>
  </si>
  <si>
    <t>Terminal equipment &amp; materials</t>
  </si>
  <si>
    <t>Maintenance of buildings and sites</t>
  </si>
  <si>
    <t>Services and maintenance by sub-contractors</t>
  </si>
  <si>
    <t xml:space="preserve">Vehicle maintenance </t>
  </si>
  <si>
    <t>Finance expenses (income), net</t>
  </si>
  <si>
    <t>Q1</t>
  </si>
  <si>
    <t xml:space="preserve">Total general &amp; operating expenses </t>
  </si>
  <si>
    <r>
      <t xml:space="preserve">Bezeq Group </t>
    </r>
    <r>
      <rPr>
        <b/>
        <vertAlign val="superscript"/>
        <sz val="10"/>
        <rFont val="Arial"/>
        <family val="2"/>
      </rPr>
      <t>(1)</t>
    </r>
  </si>
  <si>
    <t xml:space="preserve">Salaries </t>
  </si>
  <si>
    <r>
      <t>Bezeq Group</t>
    </r>
    <r>
      <rPr>
        <b/>
        <sz val="11"/>
        <rFont val="Arial"/>
        <family val="2"/>
      </rPr>
      <t xml:space="preserve"> (cont'd)</t>
    </r>
  </si>
  <si>
    <t>Total operating &amp; general expenses</t>
  </si>
  <si>
    <t>Vehicle maintenance</t>
  </si>
  <si>
    <t>Marketing &amp; general</t>
  </si>
  <si>
    <t>Other operating expenses (income)</t>
  </si>
  <si>
    <t>Dividend History</t>
  </si>
  <si>
    <t>Gross profit</t>
  </si>
  <si>
    <t>Gross profit margin</t>
  </si>
  <si>
    <t>April 16, 2006</t>
  </si>
  <si>
    <t>Dividend per share (NIS)</t>
  </si>
  <si>
    <t>October 30, 2006</t>
  </si>
  <si>
    <t>January 9, 2007</t>
  </si>
  <si>
    <t>February 26, 2007</t>
  </si>
  <si>
    <t>October 15, 2007</t>
  </si>
  <si>
    <t>April 28, 2008</t>
  </si>
  <si>
    <t>October 29, 2008</t>
  </si>
  <si>
    <t>May 24, 2009</t>
  </si>
  <si>
    <t>October 5, 2009</t>
  </si>
  <si>
    <t>May 3, 2010</t>
  </si>
  <si>
    <t>October 7, 2010</t>
  </si>
  <si>
    <t>May 19, 2011</t>
  </si>
  <si>
    <t>October 5, 2011</t>
  </si>
  <si>
    <t>May 21, 2012</t>
  </si>
  <si>
    <t>October 10, 2012</t>
  </si>
  <si>
    <t>May 13, 2013</t>
  </si>
  <si>
    <t>September 15, 2013</t>
  </si>
  <si>
    <t>Bezeq Group Dividends</t>
  </si>
  <si>
    <t>Dividend Distribution date</t>
  </si>
  <si>
    <t>Total Amount (NIS m)</t>
  </si>
  <si>
    <t>Dividend Type</t>
  </si>
  <si>
    <t>Semi-Annual Dividend</t>
  </si>
  <si>
    <t>Special Dividend (1 of 6)</t>
  </si>
  <si>
    <t>Special Dividend (6 of 6)</t>
  </si>
  <si>
    <t>Special Dividend (5 of 6)</t>
  </si>
  <si>
    <t>Special Dividend (4 of 6)</t>
  </si>
  <si>
    <t>Special Dividend (3 of 6)</t>
  </si>
  <si>
    <t>Special Dividend (2 of 6)</t>
  </si>
  <si>
    <t>Special Dividend</t>
  </si>
  <si>
    <t>Number of employees</t>
  </si>
  <si>
    <t>Operating &amp; General Expenses</t>
  </si>
  <si>
    <t>Revenues from Residential Customers</t>
  </si>
  <si>
    <t>Revenues from Business Customers</t>
  </si>
  <si>
    <t>% of total revenues</t>
  </si>
  <si>
    <t>Revenues from Private Customers</t>
  </si>
  <si>
    <t>Revenues from ILD services</t>
  </si>
  <si>
    <t>Revenues from Internet, Data &amp; ICT services</t>
  </si>
  <si>
    <t>April 23, 2014</t>
  </si>
  <si>
    <t>Collection fees (royalties)</t>
  </si>
  <si>
    <t>October 2, 2014</t>
  </si>
  <si>
    <t>May 27, 2015</t>
  </si>
  <si>
    <t>-</t>
  </si>
  <si>
    <t>Broadband Internet lines (in 000's)-Wholesale</t>
  </si>
  <si>
    <t xml:space="preserve">Total Subscribers (in 000's) </t>
  </si>
  <si>
    <t xml:space="preserve">Prepaid Subscribers (in 000's) </t>
  </si>
  <si>
    <t>Broadband Internet lines (in 000's)- Total</t>
  </si>
  <si>
    <t>Broadband Internet ARPU (in NIS) - Retail</t>
  </si>
  <si>
    <t>Share in (losses) profits of equity accounted investees</t>
  </si>
  <si>
    <r>
      <rPr>
        <vertAlign val="superscript"/>
        <sz val="10"/>
        <rFont val="Arial"/>
        <family val="2"/>
      </rPr>
      <t xml:space="preserve">(1) </t>
    </r>
    <r>
      <rPr>
        <sz val="8"/>
        <rFont val="Arial"/>
        <family val="2"/>
      </rPr>
      <t>The Bezeq Group's financial data includes yes balance sheet data as of Q1 2015 and income statement and cash flow data as of Q2 2015.</t>
    </r>
  </si>
  <si>
    <t>October 26, 2015</t>
  </si>
  <si>
    <t>Market share</t>
  </si>
  <si>
    <t>Market share - Internet</t>
  </si>
  <si>
    <t>Market share - ISP</t>
  </si>
  <si>
    <t>Market share - ILD (Outgoing)</t>
  </si>
  <si>
    <t>Mkt share</t>
  </si>
  <si>
    <t>Market share - telephony (private sector)</t>
  </si>
  <si>
    <t>Churn rate</t>
  </si>
  <si>
    <t xml:space="preserve">Churn rate </t>
  </si>
  <si>
    <t>Market share - telephony (business sector)</t>
  </si>
  <si>
    <t xml:space="preserve">Semi-Annual Dividend </t>
  </si>
  <si>
    <t xml:space="preserve"> </t>
  </si>
  <si>
    <t>Other operating expenses</t>
  </si>
  <si>
    <t>Churn rate  (ISP)</t>
  </si>
  <si>
    <t>Churn rate (telephony)</t>
  </si>
  <si>
    <t>Profit before finance exps to shareholders &amp; taxes</t>
  </si>
  <si>
    <t>Net profit (loss)</t>
  </si>
  <si>
    <t>Total changes in assets and liabilities</t>
  </si>
  <si>
    <t>Change in trade &amp; other receivables</t>
  </si>
  <si>
    <t>Change in inventory</t>
  </si>
  <si>
    <t>Change in trade &amp; other payables</t>
  </si>
  <si>
    <t>Change in provisions</t>
  </si>
  <si>
    <t>Change in employee benefits</t>
  </si>
  <si>
    <t>Income tax paid, net</t>
  </si>
  <si>
    <t>Interest paid</t>
  </si>
  <si>
    <t>NIS Millions</t>
  </si>
  <si>
    <t>Bezeq Group</t>
  </si>
  <si>
    <t>Other Operating Expenses (Income), Net</t>
  </si>
  <si>
    <t>Profit from increase to controlling stake in Yes</t>
  </si>
  <si>
    <t>Profit from the sale of shares in Coral Tel Ltd.</t>
  </si>
  <si>
    <t>Profit from the sale of property, plant and equipment (mainly real estate)*</t>
  </si>
  <si>
    <t>Proft from copper sales</t>
  </si>
  <si>
    <t>Provision (cancellation)-contingent liabilities, net</t>
  </si>
  <si>
    <t>Provision for early retirement</t>
  </si>
  <si>
    <t>Expenses for a collective agreement at Pelephone</t>
  </si>
  <si>
    <t>Loss from the discontinuation of a software development project</t>
  </si>
  <si>
    <t>Other</t>
  </si>
  <si>
    <t>Total other operating expenses (income), net</t>
  </si>
  <si>
    <t>* Includes profit from copper sales beginning Q1 2015</t>
  </si>
  <si>
    <t>Financials</t>
  </si>
  <si>
    <t>Other income / expenses</t>
  </si>
  <si>
    <t>Key Performance Indicators (KPIs)</t>
  </si>
  <si>
    <t>Dividends</t>
  </si>
  <si>
    <t xml:space="preserve">Sheet IV-  </t>
  </si>
  <si>
    <t xml:space="preserve">Sheet III- </t>
  </si>
  <si>
    <t xml:space="preserve">Sheet II- </t>
  </si>
  <si>
    <t xml:space="preserve">Sheet I-  </t>
  </si>
  <si>
    <t>October 6, 2016</t>
  </si>
  <si>
    <t>Income taxes</t>
  </si>
  <si>
    <t>The data in this metrics file contains partial information from the public reports of Bezeq under the Israeli Securities Law for which the Hebrew reports can be accessed at the Israeli Securities Authority's website.  The metrics file is a not a substitute for a review of the detailed reports of Bezeq.</t>
  </si>
  <si>
    <r>
      <t xml:space="preserve">Salaries </t>
    </r>
    <r>
      <rPr>
        <b/>
        <sz val="8"/>
        <rFont val="Arial"/>
        <family val="2"/>
      </rPr>
      <t>(included in oper. exps)</t>
    </r>
  </si>
  <si>
    <r>
      <t>Depreciation &amp; amortization</t>
    </r>
    <r>
      <rPr>
        <b/>
        <sz val="8"/>
        <rFont val="Arial"/>
        <family val="2"/>
      </rPr>
      <t xml:space="preserve"> </t>
    </r>
    <r>
      <rPr>
        <b/>
        <sz val="7.5"/>
        <rFont val="Arial"/>
        <family val="2"/>
      </rPr>
      <t>(included in oper. exps)</t>
    </r>
  </si>
  <si>
    <r>
      <t xml:space="preserve">Salaries </t>
    </r>
    <r>
      <rPr>
        <b/>
        <sz val="9"/>
        <rFont val="Arial"/>
        <family val="2"/>
      </rPr>
      <t>(included in oper. exps)</t>
    </r>
  </si>
  <si>
    <t xml:space="preserve">Sheet V-  </t>
  </si>
  <si>
    <t>Change in other liabilities (incl broadcasting rights)</t>
  </si>
  <si>
    <t>Adjusted EBITDA</t>
  </si>
  <si>
    <t>Broadband Internet lines (in 000's) - Retail</t>
  </si>
  <si>
    <t>EBITDA, reported</t>
  </si>
  <si>
    <t xml:space="preserve">Capital expenditures, net </t>
  </si>
  <si>
    <t xml:space="preserve">Content </t>
  </si>
  <si>
    <t>May 29, 2017</t>
  </si>
  <si>
    <t>Average revenue per line (ARPL) (in NIS)</t>
  </si>
  <si>
    <t>QoQ Line change (000's)</t>
  </si>
  <si>
    <t>QoQ subscriber change (000's)</t>
  </si>
  <si>
    <t>Finance expenses, net</t>
  </si>
  <si>
    <t>Wholesale subs as % of total broadband subs</t>
  </si>
  <si>
    <t>October 16, 2017</t>
  </si>
  <si>
    <t>Cash &amp; cash equivalents</t>
  </si>
  <si>
    <t>Investments</t>
  </si>
  <si>
    <t>Trade receivables</t>
  </si>
  <si>
    <t>Other receivables</t>
  </si>
  <si>
    <t>Eurocom DBS Ltd., related party</t>
  </si>
  <si>
    <t>Inventory</t>
  </si>
  <si>
    <t>Total current assets</t>
  </si>
  <si>
    <t>Trade and other receivables</t>
  </si>
  <si>
    <t>Broadcasting rights</t>
  </si>
  <si>
    <t>Fixed assets</t>
  </si>
  <si>
    <t>Intangible assets</t>
  </si>
  <si>
    <t>Deferred tax assets</t>
  </si>
  <si>
    <t>Deferred expenses and non-current investments</t>
  </si>
  <si>
    <t>Total non-current assets</t>
  </si>
  <si>
    <t>Total assets</t>
  </si>
  <si>
    <t>Debentures, loans and borrowings</t>
  </si>
  <si>
    <t>Trade and other payables</t>
  </si>
  <si>
    <t>Current tax liabilities</t>
  </si>
  <si>
    <t>Liability to Eurocom DBS Ltd.</t>
  </si>
  <si>
    <t>Employee benefits</t>
  </si>
  <si>
    <t>Provisions</t>
  </si>
  <si>
    <t>Dividend payable</t>
  </si>
  <si>
    <t>Total current liabilities</t>
  </si>
  <si>
    <t>Total non-current liabilities</t>
  </si>
  <si>
    <t>Total equity</t>
  </si>
  <si>
    <t>Loans and debentures</t>
  </si>
  <si>
    <t>Derivative and other liabilities</t>
  </si>
  <si>
    <t>Deferred tax liabilities</t>
  </si>
  <si>
    <t>Working Capital</t>
  </si>
  <si>
    <t xml:space="preserve">Balance Sheet </t>
  </si>
  <si>
    <t>Proceeds from sale of assets</t>
  </si>
  <si>
    <t xml:space="preserve">Broadband Internet </t>
  </si>
  <si>
    <t xml:space="preserve">Telephony </t>
  </si>
  <si>
    <t xml:space="preserve">Other </t>
  </si>
  <si>
    <t xml:space="preserve">Transmission &amp; data </t>
  </si>
  <si>
    <t>Cloud &amp; digital services</t>
  </si>
  <si>
    <t>Loss from impairment of assets</t>
  </si>
  <si>
    <t>May 10, 2018</t>
  </si>
  <si>
    <t>Earnings Before Interest, Taxes, Depreciation &amp; Amortization ; ttm = trailing twelve months</t>
  </si>
  <si>
    <t>Bezeq Facts &amp; Figures Q1 2018</t>
  </si>
  <si>
    <t>Three months ending March 31, 2018</t>
  </si>
  <si>
    <t>Funds From Operations (FFO)</t>
  </si>
  <si>
    <t>FFO</t>
  </si>
  <si>
    <t>Operating cash flows less net capital expenditures and lease payments</t>
  </si>
  <si>
    <t>Lease liability</t>
  </si>
  <si>
    <t>Right-of-use assets</t>
  </si>
  <si>
    <t>EBITDA reported</t>
  </si>
  <si>
    <t xml:space="preserve">Lease payments (IFRS 16) </t>
  </si>
  <si>
    <t>Adjusted EBITDA (excluding IFRS 16)</t>
  </si>
  <si>
    <t>Adjusted EBITDA (excluding IFRS 16 and other operating income/expenses)</t>
  </si>
  <si>
    <t>EBITDA excluding adoption of IFRS 16 and other operating income/expenses</t>
  </si>
  <si>
    <t xml:space="preserve">Cash flow from operating activities less changes in working capital and payments for leases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</si>
</sst>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43" formatCode="_ * #,##0.00_ ;_ * \-#,##0.00_ ;_ * &quot;-&quot;??_ ;_ @_ "/>
    <numFmt numFmtId="164" formatCode="0.0"/>
    <numFmt numFmtId="165" formatCode="_ * #,##0_ ;_ * \-#,##0_ ;_ * &quot;-&quot;??_ ;_ @_ "/>
    <numFmt numFmtId="166" formatCode="0.0%"/>
    <numFmt numFmtId="167" formatCode="[$-809]dd\ mmmm\ yyyy;@"/>
    <numFmt numFmtId="168" formatCode="#,##0;\(#,##0\)"/>
    <numFmt numFmtId="169" formatCode="[$-409]mmmm\ d\,\ yyyy;@"/>
    <numFmt numFmtId="170" formatCode="0.0%;\(0.0%\)"/>
    <numFmt numFmtId="171" formatCode="#,##0.00;\(#,##0.00\)"/>
  </numFmts>
  <fonts count="51">
    <font>
      <sz val="10"/>
      <name val="Arial"/>
      <charset val="177"/>
    </font>
    <font>
      <sz val="10"/>
      <name val="Arial"/>
      <family val="2"/>
    </font>
    <font>
      <b/>
      <sz val="10"/>
      <name val="Arial"/>
      <family val="2"/>
      <charset val="177"/>
    </font>
    <font>
      <b/>
      <u/>
      <sz val="10"/>
      <name val="Arial"/>
      <family val="2"/>
      <charset val="177"/>
    </font>
    <font>
      <sz val="8"/>
      <name val="Arial"/>
      <family val="2"/>
    </font>
    <font>
      <b/>
      <sz val="10"/>
      <name val="Arial"/>
      <family val="2"/>
    </font>
    <font>
      <sz val="10"/>
      <name val="Arial"/>
      <family val="2"/>
    </font>
    <font>
      <b/>
      <u/>
      <sz val="10"/>
      <name val="Arial"/>
      <family val="2"/>
    </font>
    <font>
      <b/>
      <sz val="12"/>
      <name val="Arial"/>
      <family val="2"/>
    </font>
    <font>
      <b/>
      <sz val="10"/>
      <color indexed="12"/>
      <name val="Arial"/>
      <family val="2"/>
    </font>
    <font>
      <u/>
      <sz val="10"/>
      <color indexed="12"/>
      <name val="Arial"/>
      <family val="2"/>
    </font>
    <font>
      <i/>
      <sz val="8"/>
      <name val="Arial"/>
      <family val="2"/>
    </font>
    <font>
      <i/>
      <sz val="10"/>
      <name val="Arial"/>
      <family val="2"/>
    </font>
    <font>
      <i/>
      <sz val="9"/>
      <name val="Arial"/>
      <family val="2"/>
    </font>
    <font>
      <sz val="10"/>
      <color indexed="20"/>
      <name val="Arial"/>
      <family val="2"/>
    </font>
    <font>
      <u/>
      <sz val="10"/>
      <name val="Arial"/>
      <family val="2"/>
    </font>
    <font>
      <i/>
      <sz val="8"/>
      <name val="Arial"/>
      <family val="2"/>
    </font>
    <font>
      <b/>
      <sz val="10"/>
      <color indexed="20"/>
      <name val="Arial"/>
      <family val="2"/>
    </font>
    <font>
      <sz val="10"/>
      <name val="KPN Sans"/>
      <family val="2"/>
    </font>
    <font>
      <b/>
      <sz val="11"/>
      <name val="KPN Sans"/>
      <family val="2"/>
    </font>
    <font>
      <b/>
      <sz val="10"/>
      <name val="KPN Sans"/>
      <family val="2"/>
    </font>
    <font>
      <b/>
      <i/>
      <sz val="9"/>
      <color indexed="8"/>
      <name val="KPN Arial"/>
      <family val="2"/>
    </font>
    <font>
      <sz val="9"/>
      <name val="KPN Sans"/>
      <family val="2"/>
    </font>
    <font>
      <sz val="9"/>
      <color indexed="8"/>
      <name val="KPN Arial"/>
    </font>
    <font>
      <sz val="10"/>
      <color indexed="8"/>
      <name val="KPN Arial"/>
    </font>
    <font>
      <b/>
      <sz val="20"/>
      <name val="Arial"/>
      <family val="2"/>
    </font>
    <font>
      <b/>
      <sz val="24"/>
      <name val="Arial Narrow"/>
      <family val="2"/>
    </font>
    <font>
      <sz val="10"/>
      <name val="Arial Narrow"/>
      <family val="2"/>
    </font>
    <font>
      <sz val="12"/>
      <name val="Arial Narrow"/>
      <family val="2"/>
    </font>
    <font>
      <b/>
      <u/>
      <sz val="12"/>
      <name val="Arial Narrow"/>
      <family val="2"/>
    </font>
    <font>
      <b/>
      <sz val="12"/>
      <name val="Arial Narrow"/>
      <family val="2"/>
    </font>
    <font>
      <b/>
      <i/>
      <sz val="9"/>
      <name val="Arial"/>
      <family val="2"/>
    </font>
    <font>
      <b/>
      <sz val="16"/>
      <name val="Arial"/>
      <family val="2"/>
    </font>
    <font>
      <i/>
      <sz val="8"/>
      <color indexed="8"/>
      <name val="Arial"/>
      <family val="2"/>
    </font>
    <font>
      <b/>
      <i/>
      <sz val="10"/>
      <name val="Arial"/>
      <family val="2"/>
    </font>
    <font>
      <b/>
      <sz val="18"/>
      <name val="Arial"/>
      <family val="2"/>
    </font>
    <font>
      <sz val="10"/>
      <color indexed="8"/>
      <name val="Arial"/>
      <family val="2"/>
    </font>
    <font>
      <b/>
      <vertAlign val="superscript"/>
      <sz val="10"/>
      <name val="Arial"/>
      <family val="2"/>
    </font>
    <font>
      <vertAlign val="superscript"/>
      <sz val="11"/>
      <name val="Arial"/>
      <family val="2"/>
    </font>
    <font>
      <b/>
      <vertAlign val="superscript"/>
      <sz val="8"/>
      <name val="Arial"/>
      <family val="2"/>
    </font>
    <font>
      <b/>
      <sz val="8"/>
      <name val="Arial"/>
      <family val="2"/>
    </font>
    <font>
      <vertAlign val="superscript"/>
      <sz val="10"/>
      <name val="Arial"/>
      <family val="2"/>
    </font>
    <font>
      <vertAlign val="superscript"/>
      <sz val="8"/>
      <name val="Arial"/>
      <family val="2"/>
    </font>
    <font>
      <b/>
      <sz val="11"/>
      <name val="Arial"/>
      <family val="2"/>
    </font>
    <font>
      <b/>
      <sz val="20"/>
      <name val="Arial Narrow"/>
      <family val="2"/>
    </font>
    <font>
      <sz val="12"/>
      <name val="Typograph"/>
      <charset val="177"/>
    </font>
    <font>
      <b/>
      <sz val="9"/>
      <name val="Arial"/>
      <family val="2"/>
    </font>
    <font>
      <sz val="9"/>
      <name val="Arial"/>
      <family val="2"/>
    </font>
    <font>
      <b/>
      <sz val="14"/>
      <name val="Arial"/>
      <family val="2"/>
    </font>
    <font>
      <b/>
      <sz val="9.3000000000000007"/>
      <name val="Arial"/>
      <family val="2"/>
    </font>
    <font>
      <b/>
      <sz val="7.5"/>
      <name val="Arial"/>
      <family val="2"/>
    </font>
  </fonts>
  <fills count="10">
    <fill>
      <patternFill patternType="none"/>
    </fill>
    <fill>
      <patternFill patternType="gray125"/>
    </fill>
    <fill>
      <patternFill patternType="solid">
        <fgColor indexed="9"/>
        <bgColor indexed="64"/>
      </patternFill>
    </fill>
    <fill>
      <patternFill patternType="solid">
        <fgColor indexed="41"/>
        <bgColor indexed="64"/>
      </patternFill>
    </fill>
    <fill>
      <patternFill patternType="solid">
        <fgColor indexed="22"/>
        <bgColor indexed="64"/>
      </patternFill>
    </fill>
    <fill>
      <patternFill patternType="solid">
        <fgColor indexed="12"/>
        <bgColor indexed="64"/>
      </patternFill>
    </fill>
    <fill>
      <patternFill patternType="solid">
        <fgColor indexed="42"/>
        <bgColor indexed="64"/>
      </patternFill>
    </fill>
    <fill>
      <patternFill patternType="solid">
        <fgColor rgb="FFCCFFFF"/>
        <bgColor indexed="64"/>
      </patternFill>
    </fill>
    <fill>
      <patternFill patternType="solid">
        <fgColor theme="0" tint="-0.14999847407452621"/>
        <bgColor indexed="64"/>
      </patternFill>
    </fill>
    <fill>
      <patternFill patternType="solid">
        <fgColor theme="0"/>
        <bgColor indexed="64"/>
      </patternFill>
    </fill>
  </fills>
  <borders count="5">
    <border>
      <left/>
      <right/>
      <top/>
      <bottom/>
      <diagonal/>
    </border>
    <border>
      <left/>
      <right/>
      <top style="thin">
        <color auto="1"/>
      </top>
      <bottom style="thin">
        <color auto="1"/>
      </bottom>
      <diagonal/>
    </border>
    <border>
      <left/>
      <right/>
      <top style="thin">
        <color auto="1"/>
      </top>
      <bottom/>
      <diagonal/>
    </border>
    <border>
      <left/>
      <right/>
      <top/>
      <bottom style="thin">
        <color auto="1"/>
      </bottom>
      <diagonal/>
    </border>
    <border>
      <left style="thin">
        <color auto="1"/>
      </left>
      <right/>
      <top style="thin">
        <color auto="1"/>
      </top>
      <bottom style="thin">
        <color auto="1"/>
      </bottom>
      <diagonal/>
    </border>
  </borders>
  <cellStyleXfs count="4">
    <xf numFmtId="0" fontId="0" fillId="0" borderId="0"/>
    <xf numFmtId="43" fontId="1" fillId="0" borderId="0" applyFont="0" applyFill="0" applyBorder="0" applyAlignment="0" applyProtection="0"/>
    <xf numFmtId="9" fontId="1" fillId="0" borderId="0" applyFont="0" applyFill="0" applyBorder="0" applyAlignment="0" applyProtection="0"/>
    <xf numFmtId="0" fontId="10" fillId="0" borderId="0" applyNumberFormat="0" applyFill="0" applyBorder="0" applyAlignment="0" applyProtection="0">
      <alignment vertical="top"/>
      <protection locked="0"/>
    </xf>
  </cellStyleXfs>
  <cellXfs count="227">
    <xf numFmtId="0" fontId="0" fillId="0" borderId="0" xfId="0"/>
    <xf numFmtId="0" fontId="0" fillId="0" borderId="0" xfId="0" applyBorder="1"/>
    <xf numFmtId="0" fontId="5" fillId="0" borderId="0" xfId="0" applyFont="1"/>
    <xf numFmtId="0" fontId="5" fillId="0" borderId="0" xfId="0" applyFont="1" applyBorder="1"/>
    <xf numFmtId="0" fontId="0" fillId="0" borderId="0" xfId="0" applyFill="1" applyBorder="1"/>
    <xf numFmtId="38" fontId="18" fillId="2" borderId="0" xfId="0" applyNumberFormat="1" applyFont="1" applyFill="1" applyProtection="1"/>
    <xf numFmtId="167" fontId="18" fillId="2" borderId="0" xfId="0" quotePrefix="1" applyNumberFormat="1" applyFont="1" applyFill="1" applyProtection="1"/>
    <xf numFmtId="0" fontId="19" fillId="0" borderId="0" xfId="0" applyFont="1" applyAlignment="1" applyProtection="1">
      <alignment horizontal="left"/>
    </xf>
    <xf numFmtId="38" fontId="20" fillId="2" borderId="0" xfId="0" applyNumberFormat="1" applyFont="1" applyFill="1" applyProtection="1"/>
    <xf numFmtId="0" fontId="21" fillId="0" borderId="0" xfId="0" applyFont="1" applyProtection="1"/>
    <xf numFmtId="38" fontId="22" fillId="2" borderId="0" xfId="0" applyNumberFormat="1" applyFont="1" applyFill="1" applyProtection="1"/>
    <xf numFmtId="0" fontId="23" fillId="0" borderId="0" xfId="0" applyFont="1" applyProtection="1"/>
    <xf numFmtId="0" fontId="24" fillId="0" borderId="0" xfId="0" applyFont="1" applyProtection="1"/>
    <xf numFmtId="0" fontId="10" fillId="0" borderId="0" xfId="3" applyAlignment="1" applyProtection="1"/>
    <xf numFmtId="0" fontId="25" fillId="0" borderId="0" xfId="0" applyFont="1"/>
    <xf numFmtId="38" fontId="18" fillId="2" borderId="0" xfId="0" applyNumberFormat="1" applyFont="1" applyFill="1"/>
    <xf numFmtId="0" fontId="27" fillId="0" borderId="0" xfId="0" applyFont="1"/>
    <xf numFmtId="38" fontId="28" fillId="2" borderId="0" xfId="0" applyNumberFormat="1" applyFont="1" applyFill="1" applyProtection="1"/>
    <xf numFmtId="0" fontId="28" fillId="0" borderId="0" xfId="0" applyFont="1"/>
    <xf numFmtId="38" fontId="29" fillId="2" borderId="0" xfId="0" applyNumberFormat="1" applyFont="1" applyFill="1" applyProtection="1"/>
    <xf numFmtId="49" fontId="30" fillId="2" borderId="0" xfId="0" applyNumberFormat="1" applyFont="1" applyFill="1" applyProtection="1"/>
    <xf numFmtId="0" fontId="0" fillId="3" borderId="0" xfId="0" applyFill="1" applyBorder="1"/>
    <xf numFmtId="0" fontId="0" fillId="3" borderId="0" xfId="0" applyFill="1"/>
    <xf numFmtId="0" fontId="0" fillId="3" borderId="0" xfId="0" applyFill="1" applyAlignment="1">
      <alignment horizontal="center"/>
    </xf>
    <xf numFmtId="166" fontId="11" fillId="3" borderId="0" xfId="0" applyNumberFormat="1" applyFont="1" applyFill="1" applyBorder="1"/>
    <xf numFmtId="0" fontId="0" fillId="0" borderId="0" xfId="0" applyFill="1" applyBorder="1" applyAlignment="1">
      <alignment horizontal="center"/>
    </xf>
    <xf numFmtId="0" fontId="0" fillId="0" borderId="0" xfId="0" applyAlignment="1">
      <alignment horizontal="center"/>
    </xf>
    <xf numFmtId="0" fontId="0" fillId="3" borderId="0" xfId="0" applyFill="1" applyBorder="1" applyAlignment="1"/>
    <xf numFmtId="0" fontId="5" fillId="3" borderId="0" xfId="0" applyFont="1" applyFill="1" applyBorder="1" applyAlignment="1"/>
    <xf numFmtId="0" fontId="5" fillId="3" borderId="0" xfId="0" applyFont="1" applyFill="1"/>
    <xf numFmtId="0" fontId="0" fillId="2" borderId="0" xfId="0" applyFill="1"/>
    <xf numFmtId="0" fontId="2" fillId="2" borderId="0" xfId="0" applyFont="1" applyFill="1" applyBorder="1" applyAlignment="1">
      <alignment horizontal="center"/>
    </xf>
    <xf numFmtId="0" fontId="0" fillId="2" borderId="0" xfId="0" applyFill="1" applyBorder="1"/>
    <xf numFmtId="0" fontId="5" fillId="3" borderId="0" xfId="0" applyFont="1" applyFill="1" applyBorder="1" applyAlignment="1">
      <alignment horizontal="left"/>
    </xf>
    <xf numFmtId="0" fontId="0" fillId="0" borderId="0" xfId="0" applyFill="1"/>
    <xf numFmtId="0" fontId="32" fillId="3" borderId="0" xfId="0" applyFont="1" applyFill="1" applyBorder="1" applyAlignment="1"/>
    <xf numFmtId="0" fontId="5" fillId="0" borderId="0" xfId="0" applyFont="1" applyFill="1" applyBorder="1"/>
    <xf numFmtId="165" fontId="5" fillId="3" borderId="0" xfId="1" applyNumberFormat="1" applyFont="1" applyFill="1" applyBorder="1"/>
    <xf numFmtId="3" fontId="5" fillId="3" borderId="0" xfId="0" applyNumberFormat="1" applyFont="1" applyFill="1" applyBorder="1"/>
    <xf numFmtId="166" fontId="5" fillId="3" borderId="0" xfId="2" applyNumberFormat="1" applyFont="1" applyFill="1" applyBorder="1"/>
    <xf numFmtId="0" fontId="5" fillId="4" borderId="1" xfId="0" applyFont="1" applyFill="1" applyBorder="1"/>
    <xf numFmtId="0" fontId="0" fillId="4" borderId="1" xfId="0" applyFill="1" applyBorder="1"/>
    <xf numFmtId="0" fontId="9" fillId="4" borderId="1" xfId="0" applyFont="1" applyFill="1" applyBorder="1"/>
    <xf numFmtId="0" fontId="0" fillId="0" borderId="1" xfId="0" applyBorder="1"/>
    <xf numFmtId="0" fontId="12" fillId="5" borderId="1" xfId="0" applyFont="1" applyFill="1" applyBorder="1"/>
    <xf numFmtId="0" fontId="3" fillId="5" borderId="1" xfId="0" applyFont="1" applyFill="1" applyBorder="1" applyAlignment="1">
      <alignment horizontal="center"/>
    </xf>
    <xf numFmtId="0" fontId="0" fillId="5" borderId="1" xfId="0" applyFill="1" applyBorder="1" applyAlignment="1">
      <alignment horizontal="center"/>
    </xf>
    <xf numFmtId="0" fontId="5" fillId="2" borderId="0" xfId="0" applyFont="1" applyFill="1" applyBorder="1" applyAlignment="1">
      <alignment horizontal="center"/>
    </xf>
    <xf numFmtId="0" fontId="5" fillId="2" borderId="0" xfId="0" applyFont="1" applyFill="1"/>
    <xf numFmtId="166" fontId="11" fillId="4" borderId="1" xfId="0" applyNumberFormat="1" applyFont="1" applyFill="1" applyBorder="1"/>
    <xf numFmtId="0" fontId="5" fillId="4" borderId="1" xfId="0" applyFont="1" applyFill="1" applyBorder="1" applyAlignment="1">
      <alignment horizontal="left"/>
    </xf>
    <xf numFmtId="166" fontId="13" fillId="4" borderId="1" xfId="0" applyNumberFormat="1" applyFont="1" applyFill="1" applyBorder="1"/>
    <xf numFmtId="166" fontId="31" fillId="4" borderId="1" xfId="0" applyNumberFormat="1" applyFont="1" applyFill="1" applyBorder="1"/>
    <xf numFmtId="166" fontId="16" fillId="4" borderId="1" xfId="0" applyNumberFormat="1" applyFont="1" applyFill="1" applyBorder="1"/>
    <xf numFmtId="0" fontId="6" fillId="5" borderId="1" xfId="0" applyFont="1" applyFill="1" applyBorder="1"/>
    <xf numFmtId="166" fontId="6" fillId="5" borderId="1" xfId="0" applyNumberFormat="1" applyFont="1" applyFill="1" applyBorder="1"/>
    <xf numFmtId="166" fontId="5" fillId="3" borderId="0" xfId="0" applyNumberFormat="1" applyFont="1" applyFill="1" applyBorder="1"/>
    <xf numFmtId="0" fontId="15" fillId="0" borderId="0" xfId="0" applyFont="1" applyFill="1" applyBorder="1" applyAlignment="1">
      <alignment horizontal="center"/>
    </xf>
    <xf numFmtId="0" fontId="34" fillId="2" borderId="0" xfId="0" applyFont="1" applyFill="1" applyBorder="1" applyAlignment="1">
      <alignment horizontal="right"/>
    </xf>
    <xf numFmtId="0" fontId="0" fillId="3" borderId="2" xfId="0" applyFill="1" applyBorder="1" applyAlignment="1">
      <alignment horizontal="center"/>
    </xf>
    <xf numFmtId="0" fontId="3" fillId="3" borderId="2" xfId="0" applyFont="1" applyFill="1" applyBorder="1" applyAlignment="1">
      <alignment horizontal="center"/>
    </xf>
    <xf numFmtId="0" fontId="0" fillId="3" borderId="3" xfId="0" applyFill="1" applyBorder="1"/>
    <xf numFmtId="0" fontId="9" fillId="3" borderId="3" xfId="0" applyFont="1" applyFill="1" applyBorder="1"/>
    <xf numFmtId="165" fontId="5" fillId="3" borderId="0" xfId="1" applyNumberFormat="1" applyFont="1" applyFill="1" applyBorder="1" applyAlignment="1">
      <alignment horizontal="right"/>
    </xf>
    <xf numFmtId="43" fontId="5" fillId="3" borderId="0" xfId="0" applyNumberFormat="1" applyFont="1" applyFill="1"/>
    <xf numFmtId="165" fontId="5" fillId="3" borderId="0" xfId="1" applyNumberFormat="1" applyFont="1" applyFill="1"/>
    <xf numFmtId="0" fontId="8" fillId="2" borderId="0" xfId="0" applyFont="1" applyFill="1" applyBorder="1" applyAlignment="1">
      <alignment horizontal="center"/>
    </xf>
    <xf numFmtId="0" fontId="8" fillId="2" borderId="0" xfId="0" applyFont="1" applyFill="1" applyAlignment="1">
      <alignment horizontal="center"/>
    </xf>
    <xf numFmtId="10" fontId="0" fillId="0" borderId="0" xfId="0" applyNumberFormat="1"/>
    <xf numFmtId="0" fontId="5" fillId="2" borderId="0" xfId="0" applyFont="1" applyFill="1" applyBorder="1"/>
    <xf numFmtId="165" fontId="5" fillId="2" borderId="0" xfId="1" applyNumberFormat="1" applyFont="1" applyFill="1" applyBorder="1"/>
    <xf numFmtId="0" fontId="11" fillId="2" borderId="0" xfId="0" applyFont="1" applyFill="1" applyBorder="1" applyAlignment="1">
      <alignment horizontal="right"/>
    </xf>
    <xf numFmtId="166" fontId="11" fillId="2" borderId="0" xfId="2" applyNumberFormat="1" applyFont="1" applyFill="1" applyBorder="1"/>
    <xf numFmtId="166" fontId="11" fillId="2" borderId="0" xfId="0" applyNumberFormat="1" applyFont="1" applyFill="1" applyBorder="1"/>
    <xf numFmtId="43" fontId="5" fillId="2" borderId="0" xfId="1" applyNumberFormat="1" applyFont="1" applyFill="1" applyBorder="1" applyAlignment="1">
      <alignment horizontal="right"/>
    </xf>
    <xf numFmtId="43" fontId="5" fillId="2" borderId="0" xfId="1" applyNumberFormat="1" applyFont="1" applyFill="1" applyBorder="1"/>
    <xf numFmtId="165" fontId="5" fillId="2" borderId="0" xfId="1" applyNumberFormat="1" applyFont="1" applyFill="1" applyBorder="1" applyAlignment="1">
      <alignment horizontal="right"/>
    </xf>
    <xf numFmtId="165" fontId="5" fillId="2" borderId="0" xfId="0" applyNumberFormat="1" applyFont="1" applyFill="1"/>
    <xf numFmtId="166" fontId="5" fillId="2" borderId="0" xfId="0" applyNumberFormat="1" applyFont="1" applyFill="1" applyBorder="1"/>
    <xf numFmtId="0" fontId="5" fillId="2" borderId="0" xfId="0" applyFont="1" applyFill="1" applyBorder="1" applyAlignment="1">
      <alignment horizontal="left"/>
    </xf>
    <xf numFmtId="165" fontId="11" fillId="2" borderId="0" xfId="1" applyNumberFormat="1" applyFont="1" applyFill="1" applyBorder="1" applyAlignment="1">
      <alignment horizontal="right"/>
    </xf>
    <xf numFmtId="164" fontId="5" fillId="2" borderId="0" xfId="0" applyNumberFormat="1" applyFont="1" applyFill="1" applyBorder="1"/>
    <xf numFmtId="0" fontId="16" fillId="2" borderId="0" xfId="0" applyFont="1" applyFill="1" applyBorder="1" applyAlignment="1">
      <alignment horizontal="right"/>
    </xf>
    <xf numFmtId="166" fontId="11" fillId="2" borderId="0" xfId="0" applyNumberFormat="1" applyFont="1" applyFill="1" applyBorder="1" applyAlignment="1">
      <alignment horizontal="right"/>
    </xf>
    <xf numFmtId="0" fontId="33" fillId="2" borderId="0" xfId="0" applyFont="1" applyFill="1" applyBorder="1" applyAlignment="1">
      <alignment horizontal="right"/>
    </xf>
    <xf numFmtId="166" fontId="11" fillId="2" borderId="0" xfId="2" applyNumberFormat="1" applyFont="1" applyFill="1" applyBorder="1" applyAlignment="1">
      <alignment horizontal="right"/>
    </xf>
    <xf numFmtId="0" fontId="17" fillId="2" borderId="0" xfId="0" applyFont="1" applyFill="1" applyBorder="1"/>
    <xf numFmtId="0" fontId="14" fillId="2" borderId="0" xfId="0" applyFont="1" applyFill="1" applyBorder="1"/>
    <xf numFmtId="3" fontId="5" fillId="2" borderId="0" xfId="0" applyNumberFormat="1" applyFont="1" applyFill="1" applyBorder="1"/>
    <xf numFmtId="0" fontId="5" fillId="2" borderId="0" xfId="0" applyFont="1" applyFill="1" applyBorder="1" applyAlignment="1">
      <alignment wrapText="1"/>
    </xf>
    <xf numFmtId="166" fontId="5" fillId="2" borderId="0" xfId="2" applyNumberFormat="1" applyFont="1" applyFill="1" applyBorder="1"/>
    <xf numFmtId="165" fontId="5" fillId="3" borderId="0" xfId="0" applyNumberFormat="1" applyFont="1" applyFill="1" applyBorder="1" applyAlignment="1"/>
    <xf numFmtId="166" fontId="11" fillId="3" borderId="0" xfId="0" applyNumberFormat="1" applyFont="1" applyFill="1" applyBorder="1" applyAlignment="1">
      <alignment horizontal="right"/>
    </xf>
    <xf numFmtId="0" fontId="38" fillId="2" borderId="0" xfId="0" applyFont="1" applyFill="1" applyBorder="1"/>
    <xf numFmtId="0" fontId="38" fillId="5" borderId="1" xfId="0" applyFont="1" applyFill="1" applyBorder="1"/>
    <xf numFmtId="0" fontId="4" fillId="2" borderId="0" xfId="0" applyFont="1" applyFill="1" applyBorder="1" applyAlignment="1">
      <alignment horizontal="left"/>
    </xf>
    <xf numFmtId="166" fontId="0" fillId="4" borderId="1" xfId="0" applyNumberFormat="1" applyFill="1" applyBorder="1"/>
    <xf numFmtId="0" fontId="42" fillId="2" borderId="0" xfId="0" applyFont="1" applyFill="1" applyBorder="1"/>
    <xf numFmtId="165" fontId="5" fillId="3" borderId="0" xfId="0" applyNumberFormat="1" applyFont="1" applyFill="1"/>
    <xf numFmtId="3" fontId="11" fillId="3" borderId="0" xfId="0" applyNumberFormat="1" applyFont="1" applyFill="1" applyBorder="1" applyAlignment="1">
      <alignment horizontal="right"/>
    </xf>
    <xf numFmtId="164" fontId="5" fillId="3" borderId="0" xfId="0" applyNumberFormat="1" applyFont="1" applyFill="1" applyBorder="1"/>
    <xf numFmtId="164" fontId="5" fillId="3" borderId="0" xfId="0" applyNumberFormat="1" applyFont="1" applyFill="1" applyBorder="1" applyAlignment="1"/>
    <xf numFmtId="0" fontId="11" fillId="3" borderId="0" xfId="0" applyFont="1" applyFill="1" applyBorder="1" applyAlignment="1">
      <alignment horizontal="right"/>
    </xf>
    <xf numFmtId="2" fontId="5" fillId="2" borderId="0" xfId="0" applyNumberFormat="1" applyFont="1" applyFill="1" applyBorder="1" applyAlignment="1">
      <alignment wrapText="1"/>
    </xf>
    <xf numFmtId="0" fontId="0" fillId="0" borderId="0" xfId="0" applyAlignment="1" applyProtection="1">
      <protection locked="0"/>
    </xf>
    <xf numFmtId="0" fontId="0" fillId="2" borderId="0" xfId="0" applyFill="1" applyAlignment="1" applyProtection="1">
      <protection locked="0"/>
    </xf>
    <xf numFmtId="0" fontId="0" fillId="2" borderId="0" xfId="0" applyFill="1" applyBorder="1" applyAlignment="1" applyProtection="1">
      <protection locked="0"/>
    </xf>
    <xf numFmtId="0" fontId="0" fillId="0" borderId="0" xfId="0" applyFill="1" applyBorder="1" applyAlignment="1" applyProtection="1">
      <protection locked="0"/>
    </xf>
    <xf numFmtId="0" fontId="12" fillId="5" borderId="1" xfId="0" applyFont="1" applyFill="1" applyBorder="1" applyAlignment="1" applyProtection="1">
      <protection locked="0"/>
    </xf>
    <xf numFmtId="0" fontId="3" fillId="5" borderId="1" xfId="0" applyFont="1" applyFill="1" applyBorder="1" applyAlignment="1" applyProtection="1">
      <alignment horizontal="center"/>
      <protection locked="0"/>
    </xf>
    <xf numFmtId="0" fontId="0" fillId="0" borderId="0" xfId="0" applyFill="1" applyBorder="1" applyAlignment="1" applyProtection="1">
      <alignment horizontal="center"/>
      <protection locked="0"/>
    </xf>
    <xf numFmtId="0" fontId="0" fillId="5" borderId="1" xfId="0" applyFill="1" applyBorder="1" applyAlignment="1" applyProtection="1">
      <alignment horizontal="center"/>
      <protection locked="0"/>
    </xf>
    <xf numFmtId="0" fontId="7" fillId="2" borderId="0" xfId="0" applyFont="1" applyFill="1" applyAlignment="1" applyProtection="1">
      <protection locked="0"/>
    </xf>
    <xf numFmtId="0" fontId="5" fillId="6" borderId="1" xfId="0" applyFont="1" applyFill="1" applyBorder="1" applyAlignment="1" applyProtection="1">
      <protection locked="0"/>
    </xf>
    <xf numFmtId="0" fontId="6" fillId="6" borderId="1" xfId="0" applyFont="1" applyFill="1" applyBorder="1" applyAlignment="1" applyProtection="1">
      <protection locked="0"/>
    </xf>
    <xf numFmtId="0" fontId="36" fillId="0" borderId="0" xfId="0" applyFont="1" applyAlignment="1" applyProtection="1">
      <alignment horizontal="left"/>
      <protection locked="0"/>
    </xf>
    <xf numFmtId="0" fontId="5" fillId="2" borderId="0" xfId="0" applyFont="1" applyFill="1" applyAlignment="1" applyProtection="1">
      <protection locked="0"/>
    </xf>
    <xf numFmtId="165" fontId="11" fillId="0" borderId="0" xfId="1" applyNumberFormat="1" applyFont="1" applyBorder="1" applyAlignment="1" applyProtection="1">
      <alignment horizontal="right" vertical="center"/>
      <protection locked="0"/>
    </xf>
    <xf numFmtId="0" fontId="4" fillId="0" borderId="0" xfId="0" applyFont="1" applyAlignment="1" applyProtection="1">
      <protection locked="0"/>
    </xf>
    <xf numFmtId="0" fontId="11" fillId="2" borderId="0" xfId="0" applyFont="1" applyFill="1" applyAlignment="1" applyProtection="1">
      <alignment horizontal="right"/>
      <protection locked="0"/>
    </xf>
    <xf numFmtId="9" fontId="11" fillId="2" borderId="0" xfId="0" applyNumberFormat="1" applyFont="1" applyFill="1" applyBorder="1" applyAlignment="1">
      <alignment horizontal="right"/>
    </xf>
    <xf numFmtId="10" fontId="0" fillId="0" borderId="0" xfId="0" applyNumberFormat="1" applyFill="1" applyBorder="1" applyAlignment="1" applyProtection="1">
      <protection locked="0"/>
    </xf>
    <xf numFmtId="10" fontId="0" fillId="0" borderId="0" xfId="0" applyNumberFormat="1" applyBorder="1"/>
    <xf numFmtId="165" fontId="11" fillId="3" borderId="0" xfId="1" applyNumberFormat="1" applyFont="1" applyFill="1" applyBorder="1" applyAlignment="1">
      <alignment horizontal="right"/>
    </xf>
    <xf numFmtId="165" fontId="11" fillId="3" borderId="0" xfId="1" applyNumberFormat="1" applyFont="1" applyFill="1" applyAlignment="1">
      <alignment horizontal="right"/>
    </xf>
    <xf numFmtId="166" fontId="5" fillId="0" borderId="0" xfId="0" applyNumberFormat="1" applyFont="1" applyFill="1" applyBorder="1"/>
    <xf numFmtId="0" fontId="8" fillId="2" borderId="0" xfId="0" applyFont="1" applyFill="1" applyBorder="1" applyAlignment="1" applyProtection="1">
      <alignment horizontal="center"/>
      <protection locked="0"/>
    </xf>
    <xf numFmtId="0" fontId="35" fillId="2" borderId="0" xfId="0" applyFont="1" applyFill="1" applyAlignment="1" applyProtection="1">
      <alignment horizontal="center"/>
      <protection locked="0"/>
    </xf>
    <xf numFmtId="0" fontId="5" fillId="0" borderId="3" xfId="0" applyFont="1" applyBorder="1" applyAlignment="1" applyProtection="1">
      <protection locked="0"/>
    </xf>
    <xf numFmtId="0" fontId="5" fillId="2" borderId="3" xfId="0" applyFont="1" applyFill="1" applyBorder="1" applyAlignment="1" applyProtection="1">
      <protection locked="0"/>
    </xf>
    <xf numFmtId="0" fontId="5" fillId="0" borderId="3" xfId="0" applyFont="1" applyFill="1" applyBorder="1" applyAlignment="1" applyProtection="1">
      <protection locked="0"/>
    </xf>
    <xf numFmtId="0" fontId="6" fillId="2" borderId="0" xfId="0" applyFont="1" applyFill="1" applyAlignment="1" applyProtection="1">
      <alignment horizontal="center"/>
      <protection locked="0"/>
    </xf>
    <xf numFmtId="0" fontId="0" fillId="0" borderId="0" xfId="0" applyAlignment="1" applyProtection="1">
      <alignment horizontal="center"/>
      <protection locked="0"/>
    </xf>
    <xf numFmtId="165" fontId="0" fillId="2" borderId="0" xfId="0" applyNumberFormat="1" applyFill="1" applyAlignment="1" applyProtection="1">
      <protection locked="0"/>
    </xf>
    <xf numFmtId="0" fontId="0" fillId="2" borderId="0" xfId="0" applyFill="1" applyAlignment="1" applyProtection="1">
      <alignment horizontal="center"/>
      <protection locked="0"/>
    </xf>
    <xf numFmtId="0" fontId="0" fillId="3" borderId="0" xfId="0" applyFill="1" applyBorder="1" applyAlignment="1">
      <alignment horizontal="center"/>
    </xf>
    <xf numFmtId="0" fontId="9" fillId="3" borderId="3" xfId="0" applyFont="1" applyFill="1" applyBorder="1" applyAlignment="1">
      <alignment horizontal="center"/>
    </xf>
    <xf numFmtId="0" fontId="9" fillId="4" borderId="1" xfId="0" applyFont="1" applyFill="1" applyBorder="1" applyAlignment="1">
      <alignment horizontal="center"/>
    </xf>
    <xf numFmtId="0" fontId="11" fillId="0" borderId="0" xfId="0" applyFont="1" applyBorder="1" applyAlignment="1">
      <alignment horizontal="right"/>
    </xf>
    <xf numFmtId="0" fontId="5" fillId="2" borderId="0" xfId="0" applyFont="1" applyFill="1" applyBorder="1" applyAlignment="1" applyProtection="1">
      <protection locked="0"/>
    </xf>
    <xf numFmtId="0" fontId="5" fillId="0" borderId="0" xfId="0" applyFont="1" applyFill="1" applyBorder="1" applyAlignment="1" applyProtection="1">
      <protection locked="0"/>
    </xf>
    <xf numFmtId="0" fontId="5" fillId="0" borderId="0" xfId="0" applyFont="1" applyBorder="1" applyAlignment="1" applyProtection="1">
      <protection locked="0"/>
    </xf>
    <xf numFmtId="165" fontId="5" fillId="3" borderId="0" xfId="1" applyNumberFormat="1" applyFont="1" applyFill="1" applyBorder="1" applyAlignment="1"/>
    <xf numFmtId="166" fontId="5" fillId="3" borderId="0" xfId="0" applyNumberFormat="1" applyFont="1" applyFill="1" applyBorder="1" applyAlignment="1"/>
    <xf numFmtId="38" fontId="26" fillId="2" borderId="0" xfId="0" applyNumberFormat="1" applyFont="1" applyFill="1" applyAlignment="1" applyProtection="1">
      <alignment horizontal="center"/>
    </xf>
    <xf numFmtId="0" fontId="28" fillId="0" borderId="0" xfId="0" applyFont="1" applyAlignment="1" applyProtection="1">
      <alignment horizontal="center"/>
    </xf>
    <xf numFmtId="38" fontId="44" fillId="2" borderId="0" xfId="0" applyNumberFormat="1" applyFont="1" applyFill="1" applyAlignment="1" applyProtection="1">
      <alignment horizontal="center"/>
    </xf>
    <xf numFmtId="165" fontId="5" fillId="0" borderId="0" xfId="1" applyNumberFormat="1" applyFont="1" applyFill="1" applyBorder="1"/>
    <xf numFmtId="164" fontId="5" fillId="0" borderId="0" xfId="0" applyNumberFormat="1" applyFont="1" applyFill="1" applyBorder="1"/>
    <xf numFmtId="0" fontId="45" fillId="0" borderId="0" xfId="0" applyFont="1" applyAlignment="1">
      <alignment horizontal="right" vertical="center" readingOrder="2"/>
    </xf>
    <xf numFmtId="0" fontId="45" fillId="7" borderId="0" xfId="0" applyFont="1" applyFill="1" applyAlignment="1">
      <alignment horizontal="right" vertical="center" readingOrder="2"/>
    </xf>
    <xf numFmtId="168" fontId="5" fillId="0" borderId="0" xfId="0" applyNumberFormat="1" applyFont="1" applyAlignment="1">
      <alignment horizontal="right"/>
    </xf>
    <xf numFmtId="168" fontId="5" fillId="0" borderId="0" xfId="0" applyNumberFormat="1" applyFont="1" applyAlignment="1"/>
    <xf numFmtId="168" fontId="5" fillId="3" borderId="0" xfId="1" applyNumberFormat="1" applyFont="1" applyFill="1" applyBorder="1" applyAlignment="1">
      <alignment horizontal="right"/>
    </xf>
    <xf numFmtId="0" fontId="46" fillId="2" borderId="3" xfId="0" applyFont="1" applyFill="1" applyBorder="1" applyAlignment="1" applyProtection="1">
      <alignment horizontal="center" wrapText="1"/>
      <protection locked="0"/>
    </xf>
    <xf numFmtId="0" fontId="46" fillId="0" borderId="3" xfId="0" applyFont="1" applyBorder="1" applyAlignment="1" applyProtection="1">
      <alignment horizontal="center"/>
      <protection locked="0"/>
    </xf>
    <xf numFmtId="0" fontId="46" fillId="2" borderId="3" xfId="0" applyFont="1" applyFill="1" applyBorder="1" applyAlignment="1" applyProtection="1">
      <protection locked="0"/>
    </xf>
    <xf numFmtId="0" fontId="46" fillId="2" borderId="0" xfId="0" applyFont="1" applyFill="1" applyBorder="1" applyAlignment="1" applyProtection="1">
      <protection locked="0"/>
    </xf>
    <xf numFmtId="0" fontId="47" fillId="2" borderId="0" xfId="0" applyFont="1" applyFill="1" applyBorder="1" applyAlignment="1" applyProtection="1">
      <protection locked="0"/>
    </xf>
    <xf numFmtId="0" fontId="47" fillId="0" borderId="0" xfId="0" applyFont="1" applyAlignment="1" applyProtection="1">
      <protection locked="0"/>
    </xf>
    <xf numFmtId="0" fontId="47" fillId="2" borderId="0" xfId="0" applyFont="1" applyFill="1" applyAlignment="1" applyProtection="1">
      <protection locked="0"/>
    </xf>
    <xf numFmtId="0" fontId="46" fillId="4" borderId="1" xfId="0" applyFont="1" applyFill="1" applyBorder="1"/>
    <xf numFmtId="0" fontId="48" fillId="3" borderId="0" xfId="0" applyFont="1" applyFill="1" applyBorder="1" applyAlignment="1"/>
    <xf numFmtId="0" fontId="41" fillId="2" borderId="0" xfId="0" applyFont="1" applyFill="1" applyBorder="1" applyAlignment="1">
      <alignment horizontal="right"/>
    </xf>
    <xf numFmtId="166" fontId="11" fillId="0" borderId="0" xfId="0" applyNumberFormat="1" applyFont="1" applyFill="1" applyBorder="1"/>
    <xf numFmtId="166" fontId="11" fillId="0" borderId="0" xfId="2" applyNumberFormat="1" applyFont="1" applyFill="1" applyBorder="1"/>
    <xf numFmtId="166" fontId="5" fillId="0" borderId="0" xfId="2" applyNumberFormat="1" applyFont="1" applyFill="1" applyBorder="1"/>
    <xf numFmtId="9" fontId="5" fillId="3" borderId="0" xfId="0" applyNumberFormat="1" applyFont="1" applyFill="1" applyBorder="1" applyAlignment="1"/>
    <xf numFmtId="0" fontId="0" fillId="5" borderId="0" xfId="0" applyFill="1" applyBorder="1" applyAlignment="1">
      <alignment horizontal="center"/>
    </xf>
    <xf numFmtId="166" fontId="11" fillId="3" borderId="0" xfId="2" applyNumberFormat="1" applyFont="1" applyFill="1" applyBorder="1" applyAlignment="1">
      <alignment horizontal="right"/>
    </xf>
    <xf numFmtId="9" fontId="5" fillId="3" borderId="0" xfId="2" applyNumberFormat="1" applyFont="1" applyFill="1" applyBorder="1"/>
    <xf numFmtId="168" fontId="5" fillId="7" borderId="0" xfId="0" applyNumberFormat="1" applyFont="1" applyFill="1" applyAlignment="1"/>
    <xf numFmtId="0" fontId="5" fillId="8" borderId="4" xfId="0" applyFont="1" applyFill="1" applyBorder="1"/>
    <xf numFmtId="168" fontId="5" fillId="8" borderId="1" xfId="0" applyNumberFormat="1" applyFont="1" applyFill="1" applyBorder="1" applyAlignment="1"/>
    <xf numFmtId="165" fontId="11" fillId="8" borderId="1" xfId="1" applyNumberFormat="1" applyFont="1" applyFill="1" applyBorder="1" applyAlignment="1">
      <alignment horizontal="right"/>
    </xf>
    <xf numFmtId="165" fontId="5" fillId="8" borderId="1" xfId="1" applyNumberFormat="1" applyFont="1" applyFill="1" applyBorder="1" applyAlignment="1">
      <alignment horizontal="right"/>
    </xf>
    <xf numFmtId="165" fontId="5" fillId="8" borderId="1" xfId="1" applyNumberFormat="1" applyFont="1" applyFill="1" applyBorder="1"/>
    <xf numFmtId="0" fontId="5" fillId="0" borderId="0" xfId="0" applyFont="1" applyFill="1"/>
    <xf numFmtId="168" fontId="5" fillId="3" borderId="0" xfId="1" applyNumberFormat="1" applyFont="1" applyFill="1" applyBorder="1"/>
    <xf numFmtId="0" fontId="5" fillId="0" borderId="0" xfId="0" applyFont="1" applyAlignment="1">
      <alignment wrapText="1"/>
    </xf>
    <xf numFmtId="0" fontId="0" fillId="0" borderId="3" xfId="0" applyBorder="1"/>
    <xf numFmtId="0" fontId="5" fillId="0" borderId="1" xfId="0" applyFont="1" applyBorder="1"/>
    <xf numFmtId="168" fontId="5" fillId="0" borderId="1" xfId="0" applyNumberFormat="1" applyFont="1" applyBorder="1" applyAlignment="1"/>
    <xf numFmtId="168" fontId="5" fillId="3" borderId="1" xfId="1" applyNumberFormat="1" applyFont="1" applyFill="1" applyBorder="1"/>
    <xf numFmtId="0" fontId="11" fillId="2" borderId="0" xfId="0" applyFont="1" applyFill="1" applyBorder="1" applyAlignment="1">
      <alignment horizontal="left"/>
    </xf>
    <xf numFmtId="168" fontId="5" fillId="0" borderId="0" xfId="0" applyNumberFormat="1" applyFont="1"/>
    <xf numFmtId="168" fontId="5" fillId="0" borderId="0" xfId="0" applyNumberFormat="1" applyFont="1" applyFill="1" applyAlignment="1">
      <alignment horizontal="right"/>
    </xf>
    <xf numFmtId="168" fontId="5" fillId="0" borderId="0" xfId="0" applyNumberFormat="1" applyFont="1" applyFill="1" applyAlignment="1"/>
    <xf numFmtId="168" fontId="5" fillId="0" borderId="1" xfId="0" applyNumberFormat="1" applyFont="1" applyFill="1" applyBorder="1" applyAlignment="1"/>
    <xf numFmtId="0" fontId="30" fillId="0" borderId="0" xfId="0" applyFont="1"/>
    <xf numFmtId="170" fontId="5" fillId="3" borderId="0" xfId="0" applyNumberFormat="1" applyFont="1" applyFill="1" applyBorder="1"/>
    <xf numFmtId="170" fontId="5" fillId="2" borderId="0" xfId="0" applyNumberFormat="1" applyFont="1" applyFill="1" applyBorder="1"/>
    <xf numFmtId="0" fontId="49" fillId="2" borderId="0" xfId="0" applyFont="1" applyFill="1" applyBorder="1"/>
    <xf numFmtId="0" fontId="5" fillId="2" borderId="0" xfId="1" applyNumberFormat="1" applyFont="1" applyFill="1" applyBorder="1"/>
    <xf numFmtId="0" fontId="2" fillId="2" borderId="0" xfId="0" applyFont="1" applyFill="1" applyBorder="1"/>
    <xf numFmtId="166" fontId="5" fillId="2" borderId="0" xfId="0" applyNumberFormat="1" applyFont="1" applyFill="1" applyBorder="1" applyAlignment="1">
      <alignment horizontal="right"/>
    </xf>
    <xf numFmtId="0" fontId="1" fillId="2" borderId="0" xfId="0" applyFont="1" applyFill="1" applyBorder="1" applyAlignment="1" applyProtection="1">
      <protection locked="0"/>
    </xf>
    <xf numFmtId="165" fontId="1" fillId="2" borderId="0" xfId="1" applyNumberFormat="1" applyFont="1" applyFill="1" applyBorder="1" applyAlignment="1">
      <alignment horizontal="right"/>
    </xf>
    <xf numFmtId="0" fontId="1" fillId="3" borderId="0" xfId="0" applyFont="1" applyFill="1" applyBorder="1" applyAlignment="1"/>
    <xf numFmtId="168" fontId="1" fillId="0" borderId="0" xfId="0" applyNumberFormat="1" applyFont="1" applyFill="1" applyAlignment="1">
      <alignment horizontal="right"/>
    </xf>
    <xf numFmtId="168" fontId="1" fillId="7" borderId="0" xfId="0" applyNumberFormat="1" applyFont="1" applyFill="1" applyAlignment="1">
      <alignment horizontal="right"/>
    </xf>
    <xf numFmtId="166" fontId="1" fillId="0" borderId="0" xfId="0" applyNumberFormat="1" applyFont="1" applyFill="1" applyAlignment="1">
      <alignment horizontal="right"/>
    </xf>
    <xf numFmtId="166" fontId="1" fillId="7" borderId="0" xfId="0" applyNumberFormat="1" applyFont="1" applyFill="1" applyAlignment="1">
      <alignment horizontal="right"/>
    </xf>
    <xf numFmtId="0" fontId="1" fillId="2" borderId="0" xfId="0" applyFont="1" applyFill="1" applyBorder="1" applyAlignment="1" applyProtection="1">
      <alignment horizontal="center" wrapText="1"/>
      <protection locked="0"/>
    </xf>
    <xf numFmtId="165" fontId="1" fillId="0" borderId="0" xfId="0" applyNumberFormat="1" applyFont="1" applyAlignment="1" applyProtection="1">
      <protection locked="0"/>
    </xf>
    <xf numFmtId="0" fontId="1" fillId="0" borderId="0" xfId="0" applyFont="1" applyAlignment="1" applyProtection="1">
      <alignment horizontal="left"/>
      <protection locked="0"/>
    </xf>
    <xf numFmtId="0" fontId="1" fillId="9" borderId="0" xfId="0" applyFont="1" applyFill="1" applyBorder="1" applyAlignment="1" applyProtection="1">
      <alignment horizontal="center" wrapText="1"/>
      <protection locked="0"/>
    </xf>
    <xf numFmtId="2" fontId="1" fillId="2" borderId="0" xfId="0" applyNumberFormat="1" applyFont="1" applyFill="1" applyBorder="1" applyAlignment="1" applyProtection="1">
      <alignment horizontal="center" wrapText="1"/>
      <protection locked="0"/>
    </xf>
    <xf numFmtId="169" fontId="1" fillId="2" borderId="0" xfId="0" applyNumberFormat="1" applyFont="1" applyFill="1" applyBorder="1" applyAlignment="1" applyProtection="1">
      <alignment horizontal="center" wrapText="1"/>
      <protection locked="0"/>
    </xf>
    <xf numFmtId="2" fontId="1" fillId="0" borderId="0" xfId="0" applyNumberFormat="1" applyFont="1" applyFill="1" applyBorder="1" applyAlignment="1" applyProtection="1">
      <alignment horizontal="center" wrapText="1"/>
      <protection locked="0"/>
    </xf>
    <xf numFmtId="0" fontId="1" fillId="0" borderId="0" xfId="0" applyFont="1" applyAlignment="1" applyProtection="1">
      <alignment horizontal="center"/>
      <protection locked="0"/>
    </xf>
    <xf numFmtId="2" fontId="1" fillId="0" borderId="0" xfId="0" applyNumberFormat="1" applyFont="1" applyAlignment="1" applyProtection="1">
      <alignment horizontal="center"/>
      <protection locked="0"/>
    </xf>
    <xf numFmtId="0" fontId="1" fillId="2" borderId="0" xfId="0" applyFont="1" applyFill="1" applyAlignment="1" applyProtection="1">
      <alignment horizontal="center"/>
      <protection locked="0"/>
    </xf>
    <xf numFmtId="165" fontId="1" fillId="2" borderId="0" xfId="0" applyNumberFormat="1" applyFont="1" applyFill="1" applyAlignment="1" applyProtection="1">
      <protection locked="0"/>
    </xf>
    <xf numFmtId="168" fontId="5" fillId="4" borderId="1" xfId="0" applyNumberFormat="1" applyFont="1" applyFill="1" applyBorder="1"/>
    <xf numFmtId="168" fontId="5" fillId="7" borderId="0" xfId="0" applyNumberFormat="1" applyFont="1" applyFill="1" applyAlignment="1">
      <alignment horizontal="right"/>
    </xf>
    <xf numFmtId="171" fontId="5" fillId="7" borderId="0" xfId="0" applyNumberFormat="1" applyFont="1" applyFill="1" applyAlignment="1"/>
    <xf numFmtId="171" fontId="5" fillId="0" borderId="0" xfId="0" applyNumberFormat="1" applyFont="1" applyAlignment="1"/>
    <xf numFmtId="2" fontId="5" fillId="0" borderId="0" xfId="0" applyNumberFormat="1" applyFont="1" applyAlignment="1"/>
    <xf numFmtId="165" fontId="5" fillId="4" borderId="1" xfId="1" applyNumberFormat="1" applyFont="1" applyFill="1" applyBorder="1"/>
    <xf numFmtId="168" fontId="5" fillId="0" borderId="0" xfId="1" applyNumberFormat="1" applyFont="1" applyFill="1" applyBorder="1"/>
    <xf numFmtId="9" fontId="11" fillId="3" borderId="0" xfId="0" applyNumberFormat="1" applyFont="1" applyFill="1" applyBorder="1" applyAlignment="1">
      <alignment horizontal="right"/>
    </xf>
    <xf numFmtId="168" fontId="0" fillId="0" borderId="0" xfId="0" applyNumberFormat="1"/>
    <xf numFmtId="0" fontId="1" fillId="0" borderId="0" xfId="0" applyFont="1" applyAlignment="1">
      <alignment horizontal="justify" vertical="center" readingOrder="1"/>
    </xf>
    <xf numFmtId="0" fontId="0" fillId="0" borderId="0" xfId="0" applyAlignment="1"/>
    <xf numFmtId="0" fontId="8" fillId="2" borderId="0" xfId="0" applyFont="1" applyFill="1" applyBorder="1" applyAlignment="1" applyProtection="1">
      <alignment horizontal="center"/>
      <protection locked="0"/>
    </xf>
    <xf numFmtId="0" fontId="35" fillId="2" borderId="0" xfId="0" applyFont="1" applyFill="1" applyAlignment="1" applyProtection="1">
      <alignment horizontal="center"/>
      <protection locked="0"/>
    </xf>
  </cellXfs>
  <cellStyles count="4">
    <cellStyle name="Comma" xfId="1" builtinId="3"/>
    <cellStyle name="Normal" xfId="0" builtinId="0"/>
    <cellStyle name="Percent" xfId="2" builtinId="5"/>
    <cellStyle name="היפר-קישור" xfId="3" builtinId="8"/>
  </cellStyles>
  <dxfs count="0"/>
  <tableStyles count="0" defaultTableStyle="TableStyleMedium9"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47625</xdr:rowOff>
    </xdr:from>
    <xdr:to>
      <xdr:col>6</xdr:col>
      <xdr:colOff>466725</xdr:colOff>
      <xdr:row>31</xdr:row>
      <xdr:rowOff>152400</xdr:rowOff>
    </xdr:to>
    <xdr:pic>
      <xdr:nvPicPr>
        <xdr:cNvPr id="14756" name="Picture 4" descr="bg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7625"/>
          <a:ext cx="3743325" cy="7219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3175</xdr:colOff>
      <xdr:row>1</xdr:row>
      <xdr:rowOff>132362</xdr:rowOff>
    </xdr:from>
    <xdr:to>
      <xdr:col>9</xdr:col>
      <xdr:colOff>533400</xdr:colOff>
      <xdr:row>10</xdr:row>
      <xdr:rowOff>42263</xdr:rowOff>
    </xdr:to>
    <xdr:pic>
      <xdr:nvPicPr>
        <xdr:cNvPr id="14757" name="Picture 3"/>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bwMode="auto">
        <a:xfrm>
          <a:off x="6188075" y="284762"/>
          <a:ext cx="1533525" cy="15228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133350</xdr:colOff>
      <xdr:row>0</xdr:row>
      <xdr:rowOff>111303</xdr:rowOff>
    </xdr:from>
    <xdr:to>
      <xdr:col>0</xdr:col>
      <xdr:colOff>638175</xdr:colOff>
      <xdr:row>3</xdr:row>
      <xdr:rowOff>79197</xdr:rowOff>
    </xdr:to>
    <xdr:pic>
      <xdr:nvPicPr>
        <xdr:cNvPr id="15573" name="Pictur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133350" y="111303"/>
          <a:ext cx="504825" cy="5012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209550</xdr:colOff>
      <xdr:row>3</xdr:row>
      <xdr:rowOff>39499</xdr:rowOff>
    </xdr:from>
    <xdr:to>
      <xdr:col>0</xdr:col>
      <xdr:colOff>609600</xdr:colOff>
      <xdr:row>5</xdr:row>
      <xdr:rowOff>131951</xdr:rowOff>
    </xdr:to>
    <xdr:pic>
      <xdr:nvPicPr>
        <xdr:cNvPr id="2"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209550" y="496699"/>
          <a:ext cx="400050" cy="3972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85725</xdr:colOff>
      <xdr:row>0</xdr:row>
      <xdr:rowOff>79553</xdr:rowOff>
    </xdr:from>
    <xdr:to>
      <xdr:col>0</xdr:col>
      <xdr:colOff>590550</xdr:colOff>
      <xdr:row>3</xdr:row>
      <xdr:rowOff>72847</xdr:rowOff>
    </xdr:to>
    <xdr:pic>
      <xdr:nvPicPr>
        <xdr:cNvPr id="16594" name="Pictur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85725" y="79553"/>
          <a:ext cx="504825" cy="5012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209550</xdr:colOff>
      <xdr:row>0</xdr:row>
      <xdr:rowOff>70394</xdr:rowOff>
    </xdr:from>
    <xdr:to>
      <xdr:col>0</xdr:col>
      <xdr:colOff>819150</xdr:colOff>
      <xdr:row>3</xdr:row>
      <xdr:rowOff>66131</xdr:rowOff>
    </xdr:to>
    <xdr:pic>
      <xdr:nvPicPr>
        <xdr:cNvPr id="8852"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209550" y="70394"/>
          <a:ext cx="609600" cy="6053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209550</xdr:colOff>
      <xdr:row>0</xdr:row>
      <xdr:rowOff>87856</xdr:rowOff>
    </xdr:from>
    <xdr:to>
      <xdr:col>0</xdr:col>
      <xdr:colOff>819150</xdr:colOff>
      <xdr:row>3</xdr:row>
      <xdr:rowOff>83593</xdr:rowOff>
    </xdr:to>
    <xdr:pic>
      <xdr:nvPicPr>
        <xdr:cNvPr id="17618" name="Pictur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209550" y="87856"/>
          <a:ext cx="609600" cy="6053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bezeq.co.il/" TargetMode="External"/><Relationship Id="rId1" Type="http://schemas.openxmlformats.org/officeDocument/2006/relationships/hyperlink" Target="mailto:ir@bezeq.co.il"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D2:V249"/>
  <sheetViews>
    <sheetView showGridLines="0" tabSelected="1" topLeftCell="A10" workbookViewId="0">
      <selection activeCell="F17" sqref="F17"/>
    </sheetView>
  </sheetViews>
  <sheetFormatPr defaultColWidth="8.7109375" defaultRowHeight="12.75"/>
  <cols>
    <col min="2" max="2" width="15.7109375" customWidth="1"/>
    <col min="3" max="3" width="9.28515625" customWidth="1"/>
    <col min="4" max="4" width="5.7109375" customWidth="1"/>
    <col min="5" max="5" width="9.28515625" hidden="1" customWidth="1"/>
    <col min="6" max="6" width="9.28515625" customWidth="1"/>
    <col min="7" max="7" width="23.28515625" customWidth="1"/>
    <col min="8" max="8" width="9" customWidth="1"/>
    <col min="9" max="9" width="13.28515625" customWidth="1"/>
    <col min="10" max="10" width="12.28515625" customWidth="1"/>
    <col min="11" max="11" width="26.42578125" customWidth="1"/>
    <col min="12" max="12" width="10.28515625" customWidth="1"/>
    <col min="13" max="13" width="9.28515625" customWidth="1"/>
  </cols>
  <sheetData>
    <row r="2" spans="4:15">
      <c r="D2" s="5"/>
      <c r="E2" s="5"/>
      <c r="F2" s="5"/>
      <c r="G2" s="5"/>
      <c r="H2" s="5"/>
      <c r="M2" s="5"/>
      <c r="N2" s="5"/>
      <c r="O2" s="5"/>
    </row>
    <row r="3" spans="4:15" ht="26.25">
      <c r="D3" s="5"/>
      <c r="E3" s="5"/>
      <c r="F3" s="5"/>
      <c r="G3" s="5"/>
      <c r="H3" s="6"/>
      <c r="M3" s="14"/>
      <c r="N3" s="5"/>
      <c r="O3" s="5"/>
    </row>
    <row r="4" spans="4:15">
      <c r="D4" s="5"/>
      <c r="E4" s="5"/>
      <c r="F4" s="5"/>
      <c r="G4" s="5"/>
      <c r="H4" s="5"/>
      <c r="M4" s="5"/>
      <c r="N4" s="5"/>
      <c r="O4" s="5"/>
    </row>
    <row r="5" spans="4:15">
      <c r="D5" s="5"/>
      <c r="E5" s="5"/>
      <c r="F5" s="5"/>
      <c r="G5" s="5"/>
      <c r="H5" s="5"/>
      <c r="M5" s="5"/>
      <c r="N5" s="5"/>
      <c r="O5" s="5"/>
    </row>
    <row r="6" spans="4:15">
      <c r="D6" s="5"/>
      <c r="E6" s="5"/>
      <c r="F6" s="5"/>
      <c r="G6" s="5"/>
      <c r="H6" s="5"/>
      <c r="M6" s="5"/>
      <c r="N6" s="5"/>
      <c r="O6" s="5"/>
    </row>
    <row r="7" spans="4:15">
      <c r="D7" s="5"/>
      <c r="E7" s="5"/>
      <c r="F7" s="5"/>
      <c r="G7" s="5"/>
      <c r="H7" s="5"/>
      <c r="M7" s="5"/>
      <c r="N7" s="5"/>
      <c r="O7" s="5"/>
    </row>
    <row r="8" spans="4:15">
      <c r="D8" s="5"/>
      <c r="E8" s="5"/>
      <c r="F8" s="5"/>
      <c r="G8" s="5"/>
      <c r="H8" s="5"/>
      <c r="M8" s="5"/>
      <c r="N8" s="5"/>
      <c r="O8" s="5"/>
    </row>
    <row r="9" spans="4:15">
      <c r="D9" s="5"/>
      <c r="E9" s="5"/>
      <c r="F9" s="5"/>
      <c r="G9" s="5"/>
      <c r="H9" s="5"/>
      <c r="M9" s="5"/>
      <c r="N9" s="5"/>
      <c r="O9" s="5"/>
    </row>
    <row r="10" spans="4:15">
      <c r="D10" s="5"/>
      <c r="E10" s="5"/>
      <c r="F10" s="5"/>
      <c r="G10" s="5"/>
      <c r="H10" s="5"/>
      <c r="N10" s="5"/>
      <c r="O10" s="5"/>
    </row>
    <row r="11" spans="4:15">
      <c r="D11" s="5"/>
      <c r="E11" s="5"/>
      <c r="F11" s="5"/>
      <c r="G11" s="5"/>
      <c r="H11" s="5"/>
      <c r="N11" s="5"/>
      <c r="O11" s="5"/>
    </row>
    <row r="12" spans="4:15" ht="30.75" customHeight="1">
      <c r="D12" s="5"/>
      <c r="E12" s="5"/>
      <c r="F12" s="5"/>
      <c r="I12" s="146" t="s">
        <v>266</v>
      </c>
      <c r="J12" s="144"/>
      <c r="K12" s="144"/>
      <c r="M12" s="7"/>
      <c r="N12" s="5"/>
      <c r="O12" s="5"/>
    </row>
    <row r="13" spans="4:15" ht="15.75">
      <c r="D13" s="5"/>
      <c r="E13" s="5"/>
      <c r="F13" s="5"/>
      <c r="I13" s="145" t="s">
        <v>267</v>
      </c>
      <c r="J13" s="145"/>
      <c r="K13" s="145"/>
      <c r="M13" s="7"/>
      <c r="N13" s="5"/>
      <c r="O13" s="5"/>
    </row>
    <row r="14" spans="4:15" ht="15.75">
      <c r="D14" s="5"/>
      <c r="E14" s="5"/>
      <c r="F14" s="5"/>
      <c r="G14" s="5"/>
      <c r="H14" s="17"/>
      <c r="I14" s="18"/>
      <c r="J14" s="18"/>
      <c r="K14" s="18"/>
      <c r="M14" s="7"/>
      <c r="N14" s="5"/>
      <c r="O14" s="5"/>
    </row>
    <row r="15" spans="4:15" ht="15.75">
      <c r="D15" s="5"/>
      <c r="E15" s="5"/>
      <c r="F15" s="5"/>
      <c r="G15" s="5"/>
      <c r="H15" s="19" t="s">
        <v>28</v>
      </c>
      <c r="I15" s="18"/>
      <c r="J15" s="18"/>
      <c r="K15" s="18"/>
      <c r="M15" s="5"/>
      <c r="N15" s="5"/>
      <c r="O15" s="5"/>
    </row>
    <row r="16" spans="4:15" ht="15.75">
      <c r="D16" s="5"/>
      <c r="E16" s="5"/>
      <c r="F16" s="5"/>
      <c r="G16" s="5"/>
      <c r="H16" s="20"/>
      <c r="I16" s="18"/>
      <c r="J16" s="18"/>
      <c r="K16" s="18"/>
      <c r="M16" s="5"/>
      <c r="N16" s="5"/>
      <c r="O16" s="5"/>
    </row>
    <row r="17" spans="4:15" ht="15.75">
      <c r="D17" s="5"/>
      <c r="E17" s="5"/>
      <c r="F17" s="5"/>
      <c r="G17" s="5"/>
      <c r="H17" s="20" t="s">
        <v>206</v>
      </c>
      <c r="I17" s="189" t="s">
        <v>199</v>
      </c>
      <c r="J17" s="18"/>
      <c r="K17" s="18"/>
      <c r="M17" s="8"/>
      <c r="N17" s="5"/>
      <c r="O17" s="5"/>
    </row>
    <row r="18" spans="4:15" ht="15.75">
      <c r="D18" s="5"/>
      <c r="E18" s="5"/>
      <c r="F18" s="5"/>
      <c r="G18" s="5"/>
      <c r="H18" s="20" t="s">
        <v>205</v>
      </c>
      <c r="I18" s="189" t="s">
        <v>200</v>
      </c>
      <c r="K18" s="16"/>
      <c r="M18" s="5"/>
      <c r="N18" s="5"/>
    </row>
    <row r="19" spans="4:15" ht="15.75">
      <c r="D19" s="5"/>
      <c r="E19" s="5"/>
      <c r="F19" s="5"/>
      <c r="G19" s="5"/>
      <c r="H19" s="20" t="s">
        <v>204</v>
      </c>
      <c r="I19" s="189" t="s">
        <v>201</v>
      </c>
      <c r="M19" s="15"/>
      <c r="N19" s="5"/>
    </row>
    <row r="20" spans="4:15" ht="15.75">
      <c r="D20" s="5"/>
      <c r="E20" s="5"/>
      <c r="F20" s="5"/>
      <c r="G20" s="5"/>
      <c r="H20" s="20" t="s">
        <v>203</v>
      </c>
      <c r="I20" s="189" t="s">
        <v>202</v>
      </c>
      <c r="J20" s="16"/>
      <c r="M20" s="15"/>
      <c r="N20" s="5"/>
    </row>
    <row r="21" spans="4:15" ht="15.75">
      <c r="D21" s="5"/>
      <c r="E21" s="5"/>
      <c r="F21" s="5"/>
      <c r="G21" s="5"/>
      <c r="H21" s="20" t="s">
        <v>213</v>
      </c>
      <c r="I21" s="189" t="s">
        <v>40</v>
      </c>
      <c r="M21" s="5"/>
      <c r="N21" s="5"/>
      <c r="O21" s="5"/>
    </row>
    <row r="22" spans="4:15">
      <c r="D22" s="5"/>
      <c r="E22" s="5"/>
      <c r="F22" s="5"/>
      <c r="G22" s="5"/>
      <c r="M22" s="5"/>
      <c r="N22" s="5"/>
      <c r="O22" s="5"/>
    </row>
    <row r="23" spans="4:15">
      <c r="D23" s="5"/>
      <c r="E23" s="5"/>
      <c r="F23" s="5"/>
      <c r="G23" s="5"/>
      <c r="H23" s="5"/>
      <c r="M23" s="5"/>
      <c r="N23" s="5"/>
      <c r="O23" s="5"/>
    </row>
    <row r="24" spans="4:15">
      <c r="D24" s="5"/>
      <c r="E24" s="5"/>
      <c r="F24" s="5"/>
      <c r="G24" s="5"/>
      <c r="H24" s="5"/>
      <c r="M24" s="5"/>
      <c r="N24" s="5"/>
      <c r="O24" s="5"/>
    </row>
    <row r="25" spans="4:15">
      <c r="D25" s="5"/>
      <c r="E25" s="5"/>
      <c r="F25" s="5"/>
      <c r="G25" s="5"/>
      <c r="H25" s="9" t="s">
        <v>24</v>
      </c>
      <c r="M25" s="5"/>
      <c r="N25" s="5"/>
      <c r="O25" s="5"/>
    </row>
    <row r="26" spans="4:15">
      <c r="D26" s="5"/>
      <c r="E26" s="5"/>
      <c r="F26" s="5"/>
      <c r="G26" s="5"/>
      <c r="H26" s="11" t="s">
        <v>22</v>
      </c>
      <c r="M26" s="5"/>
      <c r="N26" s="5"/>
      <c r="O26" s="5"/>
    </row>
    <row r="27" spans="4:15">
      <c r="D27" s="5"/>
      <c r="E27" s="5"/>
      <c r="F27" s="5"/>
      <c r="G27" s="5"/>
      <c r="H27" s="11" t="s">
        <v>25</v>
      </c>
      <c r="M27" s="5"/>
      <c r="N27" s="5"/>
      <c r="O27" s="5"/>
    </row>
    <row r="28" spans="4:15">
      <c r="D28" s="10"/>
      <c r="E28" s="5"/>
      <c r="F28" s="5"/>
      <c r="G28" s="5"/>
      <c r="H28" s="13" t="s">
        <v>41</v>
      </c>
      <c r="O28" s="10"/>
    </row>
    <row r="29" spans="4:15">
      <c r="D29" s="10"/>
      <c r="E29" s="5"/>
      <c r="F29" s="5"/>
      <c r="G29" s="5"/>
      <c r="H29" s="13" t="s">
        <v>23</v>
      </c>
      <c r="O29" s="10"/>
    </row>
    <row r="30" spans="4:15">
      <c r="E30" s="12"/>
      <c r="F30" s="5"/>
      <c r="G30" s="5"/>
      <c r="O30" s="10"/>
    </row>
    <row r="31" spans="4:15" ht="119.25" customHeight="1">
      <c r="E31" s="12"/>
      <c r="F31" s="5"/>
      <c r="G31" s="5"/>
      <c r="H31" s="223" t="s">
        <v>209</v>
      </c>
      <c r="I31" s="224"/>
      <c r="J31" s="224"/>
      <c r="K31" s="224"/>
      <c r="O31" s="10"/>
    </row>
    <row r="32" spans="4:15">
      <c r="D32" s="10"/>
      <c r="E32" s="5"/>
      <c r="F32" s="5"/>
      <c r="G32" s="5"/>
      <c r="H32" s="5"/>
      <c r="O32" s="10"/>
    </row>
    <row r="33" spans="4:15">
      <c r="D33" s="10"/>
      <c r="E33" s="5"/>
      <c r="F33" s="5"/>
      <c r="G33" s="5"/>
      <c r="O33" s="10"/>
    </row>
    <row r="36" spans="4:15">
      <c r="D36" s="68"/>
    </row>
    <row r="61" ht="6" customHeight="1"/>
    <row r="63" ht="7.5" customHeight="1"/>
    <row r="249" spans="22:22">
      <c r="V249" s="68"/>
    </row>
  </sheetData>
  <customSheetViews>
    <customSheetView guid="{C6BBAF30-1E81-42FB-BA93-01B6813E2C8C}" showPageBreaks="1" showGridLines="0" printArea="1" showRuler="0">
      <pageMargins left="0.7" right="0.7" top="0.75" bottom="0.75" header="0.3" footer="0.3"/>
      <printOptions horizontalCentered="1" verticalCentered="1"/>
      <pageSetup paperSize="9" orientation="landscape"/>
      <headerFooter alignWithMargins="0"/>
    </customSheetView>
    <customSheetView guid="{F07085DA-2B2D-4BE1-891D-F25D604A092E}" scale="85" showPageBreaks="1" showGridLines="0" printArea="1" showRuler="0" topLeftCell="E5">
      <selection activeCell="A77" sqref="A77"/>
      <pageMargins left="0.7" right="0.7" top="0.75" bottom="0.75" header="0.3" footer="0.3"/>
      <pageSetup paperSize="9" orientation="landscape"/>
      <headerFooter alignWithMargins="0"/>
    </customSheetView>
    <customSheetView guid="{6A44E415-E6EC-4CA2-8B4C-A374F00F0261}" scale="85" showPageBreaks="1" showGridLines="0" printArea="1" showRuler="0">
      <pageMargins left="0.7" right="0.7" top="0.75" bottom="0.75" header="0.3" footer="0.3"/>
      <pageSetup paperSize="9" orientation="landscape"/>
      <headerFooter alignWithMargins="0"/>
    </customSheetView>
    <customSheetView guid="{C32ED439-2914-4073-BFBF-7718D6CFE811}" showPageBreaks="1" showGridLines="0" printArea="1">
      <selection activeCell="D61" sqref="D61"/>
      <pageMargins left="0.7" right="0.7" top="0.75" bottom="0.75" header="0.3" footer="0.3"/>
      <pageSetup paperSize="9" orientation="landscape"/>
      <headerFooter alignWithMargins="0"/>
    </customSheetView>
    <customSheetView guid="{44BC518B-F505-4956-BE42-792973965029}" showPageBreaks="1" showGridLines="0" printArea="1" showRuler="0" topLeftCell="E1">
      <selection activeCell="M263" sqref="M263"/>
      <pageMargins left="0.7" right="0.7" top="0.75" bottom="0.75" header="0.3" footer="0.3"/>
      <pageSetup paperSize="9" orientation="landscape"/>
      <headerFooter alignWithMargins="0"/>
    </customSheetView>
    <customSheetView guid="{7DC6D345-C4C0-4162-8636-D495A245EBF8}" showPageBreaks="1" showGridLines="0" printArea="1" topLeftCell="E25">
      <selection activeCell="H12" sqref="H12:L12"/>
      <pageMargins left="0.7" right="0.7" top="0.75" bottom="0.75" header="0.3" footer="0.3"/>
      <pageSetup paperSize="9" orientation="landscape"/>
      <headerFooter alignWithMargins="0"/>
    </customSheetView>
    <customSheetView guid="{67DDFA58-7FF7-4BDB-BFFF-31DB4021D095}" showGridLines="0" topLeftCell="E25">
      <selection activeCell="H12" sqref="H12:L12"/>
      <pageMargins left="0.7" right="0.7" top="0.75" bottom="0.75" header="0.3" footer="0.3"/>
      <pageSetup paperSize="9" orientation="landscape"/>
      <headerFooter alignWithMargins="0"/>
    </customSheetView>
  </customSheetViews>
  <mergeCells count="1">
    <mergeCell ref="H31:K31"/>
  </mergeCells>
  <phoneticPr fontId="4" type="noConversion"/>
  <hyperlinks>
    <hyperlink ref="H28" r:id="rId1"/>
    <hyperlink ref="H29" r:id="rId2"/>
  </hyperlinks>
  <pageMargins left="0.23622047244094491" right="0.23622047244094491" top="0.23622047244094491" bottom="0.23622047244094491" header="0.51181102362204722" footer="0.51181102362204722"/>
  <pageSetup paperSize="9" orientation="landscape" r:id="rId3"/>
  <headerFooter alignWithMargins="0"/>
  <drawing r:id="rId4"/>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XFD490"/>
  <sheetViews>
    <sheetView showGridLines="0" tabSelected="1" zoomScaleNormal="100" zoomScaleSheetLayoutView="100" workbookViewId="0">
      <pane xSplit="1" ySplit="4" topLeftCell="AK460" activePane="bottomRight" state="frozen"/>
      <selection activeCell="F17" sqref="F17"/>
      <selection pane="topRight" activeCell="F17" sqref="F17"/>
      <selection pane="bottomLeft" activeCell="F17" sqref="F17"/>
      <selection pane="bottomRight" activeCell="F17" sqref="F17"/>
    </sheetView>
  </sheetViews>
  <sheetFormatPr defaultColWidth="8.7109375" defaultRowHeight="12.75"/>
  <cols>
    <col min="1" max="1" width="43" customWidth="1"/>
    <col min="2" max="2" width="10.7109375" hidden="1" customWidth="1"/>
    <col min="3" max="10" width="10.42578125" style="4" hidden="1" customWidth="1"/>
    <col min="11" max="16" width="9.28515625" style="4" hidden="1" customWidth="1"/>
    <col min="17" max="17" width="8.7109375" style="4" hidden="1" customWidth="1"/>
    <col min="18" max="21" width="9.28515625" style="4" hidden="1" customWidth="1"/>
    <col min="22" max="22" width="8.7109375" style="4" hidden="1" customWidth="1"/>
    <col min="23" max="26" width="9.28515625" style="4" hidden="1" customWidth="1"/>
    <col min="27" max="27" width="8.7109375" style="4" hidden="1" customWidth="1"/>
    <col min="28" max="28" width="9.28515625" style="4" hidden="1" customWidth="1"/>
    <col min="29" max="29" width="11" style="4" hidden="1" customWidth="1"/>
    <col min="30" max="31" width="9.28515625" style="4" hidden="1" customWidth="1"/>
    <col min="32" max="32" width="8.7109375" style="4" hidden="1" customWidth="1"/>
    <col min="33" max="36" width="9.28515625" style="4" hidden="1" customWidth="1"/>
    <col min="37" max="37" width="8.7109375" style="4"/>
    <col min="38" max="41" width="8.7109375" style="4" hidden="1" customWidth="1"/>
    <col min="42" max="42" width="9.42578125" style="4" bestFit="1" customWidth="1"/>
    <col min="43" max="44" width="8.7109375" style="4"/>
    <col min="45" max="45" width="9.42578125" style="4" bestFit="1" customWidth="1"/>
    <col min="46" max="46" width="8.7109375" style="4"/>
    <col min="47" max="47" width="9.42578125" style="4" bestFit="1" customWidth="1"/>
    <col min="48" max="51" width="8.7109375" style="4"/>
    <col min="52" max="52" width="9" style="4" bestFit="1" customWidth="1"/>
    <col min="53" max="16384" width="8.7109375" style="4"/>
  </cols>
  <sheetData>
    <row r="1" spans="1:53" ht="15.75">
      <c r="A1" s="30"/>
      <c r="B1" s="30"/>
      <c r="C1" s="66"/>
      <c r="D1" s="66"/>
      <c r="E1" s="66"/>
      <c r="F1" s="66"/>
      <c r="G1" s="66"/>
      <c r="H1" s="66"/>
      <c r="I1" s="66"/>
      <c r="J1" s="66"/>
      <c r="K1" s="66"/>
      <c r="L1" s="66"/>
      <c r="M1" s="32"/>
      <c r="N1" s="32"/>
      <c r="O1" s="32"/>
    </row>
    <row r="2" spans="1:53" ht="15.75">
      <c r="A2" s="30"/>
      <c r="B2" s="30"/>
      <c r="C2" s="32"/>
      <c r="D2" s="66"/>
      <c r="E2" s="66"/>
      <c r="F2" s="66"/>
      <c r="G2" s="66"/>
      <c r="H2" s="32"/>
      <c r="I2" s="32"/>
      <c r="J2" s="32"/>
      <c r="K2" s="32"/>
      <c r="L2" s="32"/>
      <c r="M2" s="32"/>
      <c r="N2" s="32"/>
      <c r="O2" s="32"/>
    </row>
    <row r="3" spans="1:53" s="25" customFormat="1">
      <c r="A3" s="31"/>
      <c r="B3" s="47" t="s">
        <v>5</v>
      </c>
      <c r="C3" s="47" t="s">
        <v>6</v>
      </c>
      <c r="D3" s="47" t="s">
        <v>0</v>
      </c>
      <c r="E3" s="47" t="s">
        <v>1</v>
      </c>
      <c r="F3" s="47" t="s">
        <v>2</v>
      </c>
      <c r="G3" s="47" t="s">
        <v>5</v>
      </c>
      <c r="H3" s="47" t="s">
        <v>6</v>
      </c>
      <c r="I3" s="47" t="s">
        <v>0</v>
      </c>
      <c r="J3" s="47" t="s">
        <v>1</v>
      </c>
      <c r="K3" s="47" t="s">
        <v>2</v>
      </c>
      <c r="L3" s="47" t="s">
        <v>5</v>
      </c>
      <c r="M3" s="47" t="s">
        <v>6</v>
      </c>
      <c r="N3" s="47" t="s">
        <v>0</v>
      </c>
      <c r="O3" s="47" t="s">
        <v>1</v>
      </c>
      <c r="P3" s="47" t="s">
        <v>2</v>
      </c>
      <c r="Q3" s="47" t="s">
        <v>5</v>
      </c>
      <c r="R3" s="47" t="s">
        <v>6</v>
      </c>
      <c r="S3" s="47" t="s">
        <v>0</v>
      </c>
      <c r="T3" s="47" t="s">
        <v>1</v>
      </c>
      <c r="U3" s="47" t="s">
        <v>2</v>
      </c>
      <c r="V3" s="47" t="s">
        <v>5</v>
      </c>
      <c r="W3" s="47" t="s">
        <v>6</v>
      </c>
      <c r="X3" s="47" t="s">
        <v>0</v>
      </c>
      <c r="Y3" s="47" t="s">
        <v>1</v>
      </c>
      <c r="Z3" s="47" t="s">
        <v>2</v>
      </c>
      <c r="AA3" s="47" t="s">
        <v>5</v>
      </c>
      <c r="AB3" s="47" t="s">
        <v>98</v>
      </c>
      <c r="AC3" s="47" t="s">
        <v>0</v>
      </c>
      <c r="AD3" s="47" t="s">
        <v>1</v>
      </c>
      <c r="AE3" s="47" t="s">
        <v>2</v>
      </c>
      <c r="AF3" s="47" t="s">
        <v>5</v>
      </c>
      <c r="AG3" s="47" t="s">
        <v>98</v>
      </c>
      <c r="AH3" s="47" t="s">
        <v>0</v>
      </c>
      <c r="AI3" s="47" t="s">
        <v>1</v>
      </c>
      <c r="AJ3" s="47" t="s">
        <v>2</v>
      </c>
      <c r="AK3" s="47" t="s">
        <v>5</v>
      </c>
      <c r="AL3" s="47" t="s">
        <v>98</v>
      </c>
      <c r="AM3" s="47" t="s">
        <v>0</v>
      </c>
      <c r="AN3" s="47" t="s">
        <v>1</v>
      </c>
      <c r="AO3" s="47" t="s">
        <v>2</v>
      </c>
      <c r="AP3" s="47" t="s">
        <v>5</v>
      </c>
      <c r="AQ3" s="47" t="s">
        <v>98</v>
      </c>
      <c r="AR3" s="47" t="s">
        <v>0</v>
      </c>
      <c r="AS3" s="47" t="s">
        <v>1</v>
      </c>
      <c r="AT3" s="47" t="s">
        <v>2</v>
      </c>
      <c r="AU3" s="47" t="s">
        <v>5</v>
      </c>
      <c r="AV3" s="47" t="s">
        <v>98</v>
      </c>
      <c r="AW3" s="47" t="s">
        <v>0</v>
      </c>
      <c r="AX3" s="47" t="s">
        <v>1</v>
      </c>
      <c r="AY3" s="47" t="s">
        <v>2</v>
      </c>
      <c r="AZ3" s="47" t="s">
        <v>5</v>
      </c>
      <c r="BA3" s="47" t="s">
        <v>98</v>
      </c>
    </row>
    <row r="4" spans="1:53" s="57" customFormat="1" ht="12" customHeight="1">
      <c r="A4" s="58" t="s">
        <v>46</v>
      </c>
      <c r="B4" s="47">
        <v>2007</v>
      </c>
      <c r="C4" s="47">
        <v>2008</v>
      </c>
      <c r="D4" s="47">
        <v>2008</v>
      </c>
      <c r="E4" s="47">
        <v>2008</v>
      </c>
      <c r="F4" s="47">
        <v>2008</v>
      </c>
      <c r="G4" s="47">
        <v>2008</v>
      </c>
      <c r="H4" s="47">
        <v>2009</v>
      </c>
      <c r="I4" s="47">
        <v>2009</v>
      </c>
      <c r="J4" s="47">
        <v>2009</v>
      </c>
      <c r="K4" s="47">
        <v>2009</v>
      </c>
      <c r="L4" s="47">
        <v>2009</v>
      </c>
      <c r="M4" s="47">
        <v>2010</v>
      </c>
      <c r="N4" s="47">
        <v>2010</v>
      </c>
      <c r="O4" s="47">
        <v>2010</v>
      </c>
      <c r="P4" s="47">
        <v>2010</v>
      </c>
      <c r="Q4" s="47">
        <v>2010</v>
      </c>
      <c r="R4" s="47">
        <v>2011</v>
      </c>
      <c r="S4" s="47">
        <v>2011</v>
      </c>
      <c r="T4" s="47">
        <v>2011</v>
      </c>
      <c r="U4" s="47">
        <v>2011</v>
      </c>
      <c r="V4" s="47">
        <v>2011</v>
      </c>
      <c r="W4" s="47">
        <v>2012</v>
      </c>
      <c r="X4" s="47">
        <v>2012</v>
      </c>
      <c r="Y4" s="47">
        <v>2012</v>
      </c>
      <c r="Z4" s="47">
        <v>2012</v>
      </c>
      <c r="AA4" s="47">
        <v>2012</v>
      </c>
      <c r="AB4" s="47">
        <v>2013</v>
      </c>
      <c r="AC4" s="47">
        <v>2013</v>
      </c>
      <c r="AD4" s="47">
        <v>2013</v>
      </c>
      <c r="AE4" s="47">
        <v>2013</v>
      </c>
      <c r="AF4" s="47">
        <v>2013</v>
      </c>
      <c r="AG4" s="47">
        <v>2014</v>
      </c>
      <c r="AH4" s="47">
        <v>2014</v>
      </c>
      <c r="AI4" s="47">
        <v>2014</v>
      </c>
      <c r="AJ4" s="47">
        <v>2014</v>
      </c>
      <c r="AK4" s="47">
        <v>2014</v>
      </c>
      <c r="AL4" s="47">
        <v>2015</v>
      </c>
      <c r="AM4" s="47">
        <v>2015</v>
      </c>
      <c r="AN4" s="47">
        <v>2015</v>
      </c>
      <c r="AO4" s="47">
        <v>2015</v>
      </c>
      <c r="AP4" s="47">
        <v>2015</v>
      </c>
      <c r="AQ4" s="47">
        <v>2016</v>
      </c>
      <c r="AR4" s="47">
        <v>2016</v>
      </c>
      <c r="AS4" s="47">
        <v>2016</v>
      </c>
      <c r="AT4" s="47">
        <v>2016</v>
      </c>
      <c r="AU4" s="47">
        <v>2016</v>
      </c>
      <c r="AV4" s="47">
        <v>2017</v>
      </c>
      <c r="AW4" s="47">
        <v>2017</v>
      </c>
      <c r="AX4" s="47">
        <v>2017</v>
      </c>
      <c r="AY4" s="47">
        <v>2017</v>
      </c>
      <c r="AZ4" s="47">
        <v>2017</v>
      </c>
      <c r="BA4" s="47">
        <v>2018</v>
      </c>
    </row>
    <row r="5" spans="1:53" s="25" customFormat="1" ht="4.5" customHeight="1">
      <c r="A5" s="44"/>
      <c r="B5" s="44"/>
      <c r="C5" s="45"/>
      <c r="D5" s="45"/>
      <c r="E5" s="45"/>
      <c r="F5" s="45"/>
      <c r="G5" s="45"/>
      <c r="H5" s="45"/>
      <c r="I5" s="45"/>
      <c r="J5" s="45"/>
      <c r="K5" s="45"/>
      <c r="L5" s="45"/>
      <c r="M5" s="45"/>
      <c r="N5" s="45"/>
      <c r="O5" s="45"/>
      <c r="P5" s="45"/>
      <c r="Q5" s="45"/>
      <c r="R5" s="45"/>
      <c r="S5" s="45"/>
      <c r="T5" s="45"/>
      <c r="U5" s="45"/>
      <c r="V5" s="45"/>
      <c r="W5" s="45"/>
      <c r="X5" s="45"/>
      <c r="Y5" s="45"/>
      <c r="Z5" s="45"/>
      <c r="AA5" s="45"/>
      <c r="AB5" s="45"/>
      <c r="AC5" s="45"/>
      <c r="AD5" s="45"/>
      <c r="AE5" s="45"/>
      <c r="AF5" s="45"/>
      <c r="AG5" s="45"/>
      <c r="AH5" s="45"/>
      <c r="AI5" s="45"/>
      <c r="AJ5" s="45"/>
      <c r="AK5" s="45"/>
      <c r="AL5" s="45"/>
      <c r="AM5" s="45"/>
      <c r="AN5" s="45"/>
      <c r="AO5" s="45"/>
      <c r="AP5" s="45"/>
      <c r="AQ5" s="45"/>
      <c r="AR5" s="45"/>
      <c r="AS5" s="45"/>
      <c r="AT5" s="45"/>
      <c r="AU5" s="45"/>
      <c r="AV5" s="45"/>
      <c r="AW5" s="45"/>
      <c r="AX5" s="45"/>
      <c r="AY5" s="45"/>
      <c r="AZ5" s="45"/>
      <c r="BA5" s="45"/>
    </row>
    <row r="6" spans="1:53" ht="20.25">
      <c r="A6" s="35" t="s">
        <v>100</v>
      </c>
      <c r="B6" s="35"/>
      <c r="C6" s="27"/>
      <c r="D6" s="27"/>
      <c r="E6" s="27"/>
      <c r="F6" s="27"/>
      <c r="G6" s="27"/>
      <c r="H6" s="27"/>
      <c r="I6" s="27"/>
      <c r="J6" s="27"/>
      <c r="K6" s="27"/>
      <c r="L6" s="27"/>
      <c r="M6" s="27"/>
      <c r="N6" s="27"/>
      <c r="O6" s="27"/>
      <c r="P6" s="27"/>
      <c r="Q6" s="27"/>
      <c r="R6" s="27"/>
      <c r="S6" s="27"/>
      <c r="T6" s="27"/>
      <c r="U6" s="21"/>
      <c r="V6" s="21"/>
      <c r="W6" s="27"/>
      <c r="X6" s="27"/>
      <c r="Y6" s="27"/>
      <c r="Z6" s="21"/>
      <c r="AA6" s="21"/>
      <c r="AB6" s="21"/>
      <c r="AC6" s="27"/>
      <c r="AD6" s="27"/>
      <c r="AE6" s="21"/>
      <c r="AF6" s="21"/>
      <c r="AG6" s="21"/>
      <c r="AH6" s="27"/>
      <c r="AI6" s="27"/>
      <c r="AJ6" s="21"/>
      <c r="AK6" s="21"/>
      <c r="AL6" s="21"/>
      <c r="AM6" s="21"/>
      <c r="AN6" s="21"/>
      <c r="AO6" s="21"/>
      <c r="AP6" s="21"/>
      <c r="AQ6" s="21"/>
      <c r="AR6" s="21"/>
      <c r="AS6" s="21"/>
      <c r="AT6" s="21"/>
      <c r="AU6" s="21"/>
      <c r="AV6" s="21"/>
      <c r="AW6" s="21"/>
      <c r="AX6" s="21"/>
      <c r="AY6" s="21"/>
      <c r="AZ6" s="21"/>
      <c r="BA6" s="21"/>
    </row>
    <row r="7" spans="1:53" ht="2.25" customHeight="1">
      <c r="A7" s="61"/>
      <c r="B7" s="61"/>
      <c r="C7" s="62"/>
      <c r="D7" s="62"/>
      <c r="E7" s="62"/>
      <c r="F7" s="62"/>
      <c r="G7" s="62"/>
      <c r="H7" s="62"/>
      <c r="I7" s="62"/>
      <c r="J7" s="62"/>
      <c r="K7" s="62"/>
      <c r="L7" s="62"/>
      <c r="M7" s="62"/>
      <c r="N7" s="62"/>
      <c r="O7" s="62"/>
      <c r="P7" s="62"/>
      <c r="Q7" s="62"/>
      <c r="R7" s="62"/>
      <c r="S7" s="62"/>
      <c r="T7" s="62"/>
      <c r="U7" s="61"/>
      <c r="V7" s="61"/>
      <c r="W7" s="62"/>
      <c r="X7" s="62"/>
      <c r="Y7" s="62"/>
      <c r="Z7" s="61"/>
      <c r="AA7" s="61"/>
      <c r="AB7" s="61"/>
      <c r="AC7" s="62"/>
      <c r="AD7" s="62"/>
      <c r="AE7" s="61"/>
      <c r="AF7" s="61"/>
      <c r="AG7" s="61"/>
      <c r="AH7" s="62"/>
      <c r="AI7" s="62"/>
      <c r="AJ7" s="61"/>
      <c r="AK7" s="61"/>
      <c r="AL7" s="61"/>
      <c r="AM7" s="61"/>
      <c r="AN7" s="61"/>
      <c r="AO7" s="61"/>
      <c r="AP7" s="61"/>
      <c r="AQ7" s="61"/>
      <c r="AR7" s="61"/>
      <c r="AS7" s="61"/>
      <c r="AT7" s="61"/>
      <c r="AU7" s="61"/>
      <c r="AV7" s="61"/>
      <c r="AW7" s="61"/>
      <c r="AX7" s="61"/>
      <c r="AY7" s="61"/>
      <c r="AZ7" s="61"/>
      <c r="BA7" s="61"/>
    </row>
    <row r="8" spans="1:53">
      <c r="A8" s="40" t="s">
        <v>29</v>
      </c>
      <c r="B8" s="40"/>
      <c r="C8" s="42"/>
      <c r="D8" s="42"/>
      <c r="E8" s="42"/>
      <c r="F8" s="42"/>
      <c r="G8" s="42"/>
      <c r="H8" s="42"/>
      <c r="I8" s="42"/>
      <c r="J8" s="42"/>
      <c r="K8" s="42"/>
      <c r="L8" s="42"/>
      <c r="M8" s="42"/>
      <c r="N8" s="42"/>
      <c r="O8" s="42"/>
      <c r="P8" s="42"/>
      <c r="Q8" s="42"/>
      <c r="R8" s="42"/>
      <c r="S8" s="42"/>
      <c r="T8" s="42"/>
      <c r="U8" s="42"/>
      <c r="V8" s="42"/>
      <c r="W8" s="42"/>
      <c r="X8" s="42"/>
      <c r="Y8" s="42"/>
      <c r="Z8" s="42"/>
      <c r="AA8" s="42"/>
      <c r="AB8" s="42"/>
      <c r="AC8" s="42"/>
      <c r="AD8" s="42"/>
      <c r="AE8" s="42"/>
      <c r="AF8" s="42"/>
      <c r="AG8" s="42"/>
      <c r="AH8" s="42"/>
      <c r="AI8" s="42"/>
      <c r="AJ8" s="42"/>
      <c r="AK8" s="42"/>
      <c r="AL8" s="42"/>
      <c r="AM8" s="42"/>
      <c r="AN8" s="42"/>
      <c r="AO8" s="42"/>
      <c r="AP8" s="42"/>
      <c r="AQ8" s="42"/>
      <c r="AR8" s="42"/>
      <c r="AS8" s="42"/>
      <c r="AT8" s="42"/>
      <c r="AU8" s="42"/>
      <c r="AV8" s="42"/>
      <c r="AW8" s="42"/>
      <c r="AX8" s="42"/>
      <c r="AY8" s="42"/>
      <c r="AZ8" s="42"/>
      <c r="BA8" s="42"/>
    </row>
    <row r="9" spans="1:53" s="36" customFormat="1">
      <c r="A9" s="69" t="s">
        <v>16</v>
      </c>
      <c r="B9" s="65">
        <v>11136</v>
      </c>
      <c r="C9" s="70">
        <v>2760</v>
      </c>
      <c r="D9" s="70">
        <v>2748</v>
      </c>
      <c r="E9" s="70">
        <v>2806</v>
      </c>
      <c r="F9" s="70">
        <v>2701</v>
      </c>
      <c r="G9" s="65">
        <v>11015</v>
      </c>
      <c r="H9" s="70">
        <v>2791</v>
      </c>
      <c r="I9" s="70">
        <v>2872</v>
      </c>
      <c r="J9" s="70">
        <v>2924</v>
      </c>
      <c r="K9" s="70">
        <f>L9-J9-I9-H9</f>
        <v>2932</v>
      </c>
      <c r="L9" s="65">
        <v>11519</v>
      </c>
      <c r="M9" s="70">
        <v>2915</v>
      </c>
      <c r="N9" s="70">
        <v>2981</v>
      </c>
      <c r="O9" s="70">
        <v>3033</v>
      </c>
      <c r="P9" s="70">
        <f>Q9-O9-N9-M9</f>
        <v>3058</v>
      </c>
      <c r="Q9" s="65">
        <v>11987</v>
      </c>
      <c r="R9" s="70">
        <v>2913</v>
      </c>
      <c r="S9" s="70">
        <v>2893</v>
      </c>
      <c r="T9" s="70">
        <v>2917</v>
      </c>
      <c r="U9" s="70">
        <f>V9-T9-S9-R9</f>
        <v>2650</v>
      </c>
      <c r="V9" s="65">
        <v>11373</v>
      </c>
      <c r="W9" s="70">
        <v>2740</v>
      </c>
      <c r="X9" s="70">
        <v>2595</v>
      </c>
      <c r="Y9" s="70">
        <v>2494</v>
      </c>
      <c r="Z9" s="70">
        <f>AA9-Y9-X9-W9</f>
        <v>2449</v>
      </c>
      <c r="AA9" s="65">
        <v>10278</v>
      </c>
      <c r="AB9" s="70">
        <v>2405</v>
      </c>
      <c r="AC9" s="70">
        <v>2351</v>
      </c>
      <c r="AD9" s="70">
        <v>2398</v>
      </c>
      <c r="AE9" s="70">
        <f>AF9-AD9-AC9-AB9</f>
        <v>2409</v>
      </c>
      <c r="AF9" s="65">
        <v>9563</v>
      </c>
      <c r="AG9" s="70">
        <v>2311</v>
      </c>
      <c r="AH9" s="70">
        <v>2250</v>
      </c>
      <c r="AI9" s="70">
        <v>2232</v>
      </c>
      <c r="AJ9" s="70">
        <f>AK9-AI9-AH9-AG9</f>
        <v>2262</v>
      </c>
      <c r="AK9" s="65">
        <v>9055</v>
      </c>
      <c r="AL9" s="70">
        <v>2174</v>
      </c>
      <c r="AM9" s="70">
        <v>2603</v>
      </c>
      <c r="AN9" s="70">
        <v>2602</v>
      </c>
      <c r="AO9" s="70">
        <v>2606</v>
      </c>
      <c r="AP9" s="65">
        <v>9985</v>
      </c>
      <c r="AQ9" s="70">
        <v>2559</v>
      </c>
      <c r="AR9" s="70">
        <v>2511</v>
      </c>
      <c r="AS9" s="70">
        <v>2510</v>
      </c>
      <c r="AT9" s="70">
        <v>2504</v>
      </c>
      <c r="AU9" s="65">
        <v>10084</v>
      </c>
      <c r="AV9" s="70">
        <v>2453</v>
      </c>
      <c r="AW9" s="70">
        <v>2463</v>
      </c>
      <c r="AX9" s="70">
        <v>2415</v>
      </c>
      <c r="AY9" s="70">
        <v>2458</v>
      </c>
      <c r="AZ9" s="65">
        <v>9789</v>
      </c>
      <c r="BA9" s="70">
        <v>2361</v>
      </c>
    </row>
    <row r="10" spans="1:53">
      <c r="A10" s="71" t="s">
        <v>7</v>
      </c>
      <c r="B10" s="24"/>
      <c r="C10" s="72"/>
      <c r="D10" s="72">
        <f>D9/C9-1</f>
        <v>-4.3478260869564966E-3</v>
      </c>
      <c r="E10" s="72">
        <f>E9/D9-1</f>
        <v>2.1106259097525504E-2</v>
      </c>
      <c r="F10" s="72">
        <f>F9/E9-1</f>
        <v>-3.7419814682822516E-2</v>
      </c>
      <c r="G10" s="24"/>
      <c r="H10" s="72">
        <f>H9/F9-1</f>
        <v>3.3320992225101875E-2</v>
      </c>
      <c r="I10" s="72">
        <f>I9/H9-1</f>
        <v>2.9021855965603693E-2</v>
      </c>
      <c r="J10" s="72">
        <f>J9/I9-1</f>
        <v>1.8105849582172651E-2</v>
      </c>
      <c r="K10" s="72">
        <f>K9/J9-1</f>
        <v>2.7359781121751858E-3</v>
      </c>
      <c r="L10" s="24"/>
      <c r="M10" s="72">
        <f>M9/K9-1</f>
        <v>-5.7980900409276837E-3</v>
      </c>
      <c r="N10" s="72">
        <f>N9/M9-1</f>
        <v>2.2641509433962259E-2</v>
      </c>
      <c r="O10" s="72">
        <f>O9/N9-1</f>
        <v>1.7443810801744286E-2</v>
      </c>
      <c r="P10" s="72">
        <f>P9/O9-1</f>
        <v>8.2426640290140796E-3</v>
      </c>
      <c r="Q10" s="24"/>
      <c r="R10" s="72">
        <f>R9/P9-1</f>
        <v>-4.7416612164813632E-2</v>
      </c>
      <c r="S10" s="72">
        <f>S9/R9-1</f>
        <v>-6.8657741160316199E-3</v>
      </c>
      <c r="T10" s="72">
        <f>T9/S9-1</f>
        <v>8.295886622882831E-3</v>
      </c>
      <c r="U10" s="72">
        <f>U9/T9-1</f>
        <v>-9.1532396297566043E-2</v>
      </c>
      <c r="V10" s="24"/>
      <c r="W10" s="72">
        <f>W9/U9-1</f>
        <v>3.3962264150943389E-2</v>
      </c>
      <c r="X10" s="72">
        <f>X9/W9-1</f>
        <v>-5.2919708029197099E-2</v>
      </c>
      <c r="Y10" s="72">
        <f>Y9/X9-1</f>
        <v>-3.8921001926782273E-2</v>
      </c>
      <c r="Z10" s="72">
        <f>Z9/Y9-1</f>
        <v>-1.8043303929430654E-2</v>
      </c>
      <c r="AA10" s="24"/>
      <c r="AB10" s="72">
        <f>AB9/Z9-1</f>
        <v>-1.7966516945692068E-2</v>
      </c>
      <c r="AC10" s="72">
        <f>AC9/AB9-1</f>
        <v>-2.2453222453222454E-2</v>
      </c>
      <c r="AD10" s="72">
        <f>AD9/AC9-1</f>
        <v>1.9991492981709991E-2</v>
      </c>
      <c r="AE10" s="72">
        <f>AE9/AD9-1</f>
        <v>4.5871559633028358E-3</v>
      </c>
      <c r="AF10" s="24"/>
      <c r="AG10" s="72">
        <f>AG9/AE9-1</f>
        <v>-4.0680780406807782E-2</v>
      </c>
      <c r="AH10" s="72">
        <f>AH9/AG9-1</f>
        <v>-2.6395499783643417E-2</v>
      </c>
      <c r="AI10" s="72">
        <f>AI9/AH9-1</f>
        <v>-8.0000000000000071E-3</v>
      </c>
      <c r="AJ10" s="72">
        <f>AJ9/AI9-1</f>
        <v>1.3440860215053752E-2</v>
      </c>
      <c r="AK10" s="24"/>
      <c r="AL10" s="72">
        <v>-3.89036251105217E-2</v>
      </c>
      <c r="AM10" s="72">
        <v>0.19733210671573143</v>
      </c>
      <c r="AN10" s="72">
        <v>-3.8417210910490773E-4</v>
      </c>
      <c r="AO10" s="72">
        <v>1.537279016141424E-3</v>
      </c>
      <c r="AP10" s="24"/>
      <c r="AQ10" s="72">
        <v>-1.8035303146584858E-2</v>
      </c>
      <c r="AR10" s="72">
        <v>-1.8757327080890951E-2</v>
      </c>
      <c r="AS10" s="72">
        <v>-3.9824771007568316E-4</v>
      </c>
      <c r="AT10" s="72">
        <v>-2.3904382470119057E-3</v>
      </c>
      <c r="AU10" s="24"/>
      <c r="AV10" s="72">
        <v>-2.0367412140575025E-2</v>
      </c>
      <c r="AW10" s="72">
        <v>4.0766408479413485E-3</v>
      </c>
      <c r="AX10" s="72">
        <v>-1.948842874543244E-2</v>
      </c>
      <c r="AY10" s="72">
        <v>1.7805383022774235E-2</v>
      </c>
      <c r="AZ10" s="24"/>
      <c r="BA10" s="72">
        <v>-3.9462978030919471E-2</v>
      </c>
    </row>
    <row r="11" spans="1:53">
      <c r="A11" s="71" t="s">
        <v>8</v>
      </c>
      <c r="B11" s="24"/>
      <c r="C11" s="73"/>
      <c r="D11" s="73"/>
      <c r="E11" s="73"/>
      <c r="F11" s="73"/>
      <c r="G11" s="24">
        <f t="shared" ref="G11:N11" si="0">G9/B9-1</f>
        <v>-1.0865660919540221E-2</v>
      </c>
      <c r="H11" s="73">
        <f t="shared" si="0"/>
        <v>1.1231884057971042E-2</v>
      </c>
      <c r="I11" s="73">
        <f t="shared" si="0"/>
        <v>4.512372634643369E-2</v>
      </c>
      <c r="J11" s="73">
        <f t="shared" si="0"/>
        <v>4.2052744119743357E-2</v>
      </c>
      <c r="K11" s="73">
        <f t="shared" si="0"/>
        <v>8.5523880044428013E-2</v>
      </c>
      <c r="L11" s="24">
        <f t="shared" si="0"/>
        <v>4.5755787562414829E-2</v>
      </c>
      <c r="M11" s="73">
        <f t="shared" si="0"/>
        <v>4.4428520243640302E-2</v>
      </c>
      <c r="N11" s="73">
        <f t="shared" si="0"/>
        <v>3.79526462395543E-2</v>
      </c>
      <c r="O11" s="73">
        <f t="shared" ref="O11:Y11" si="1">O9/J9-1</f>
        <v>3.7277701778385852E-2</v>
      </c>
      <c r="P11" s="73">
        <f t="shared" si="1"/>
        <v>4.2974079126875786E-2</v>
      </c>
      <c r="Q11" s="24">
        <f t="shared" si="1"/>
        <v>4.0628526781838703E-2</v>
      </c>
      <c r="R11" s="73">
        <f t="shared" si="1"/>
        <v>-6.8610634648369473E-4</v>
      </c>
      <c r="S11" s="73">
        <f t="shared" si="1"/>
        <v>-2.9520295202952074E-2</v>
      </c>
      <c r="T11" s="73">
        <f t="shared" si="1"/>
        <v>-3.8245961094625747E-2</v>
      </c>
      <c r="U11" s="73">
        <f t="shared" si="1"/>
        <v>-0.13342053629823414</v>
      </c>
      <c r="V11" s="24">
        <f t="shared" si="1"/>
        <v>-5.1222157337115215E-2</v>
      </c>
      <c r="W11" s="73">
        <f t="shared" si="1"/>
        <v>-5.9388946103673179E-2</v>
      </c>
      <c r="X11" s="73">
        <f t="shared" si="1"/>
        <v>-0.10300725890079498</v>
      </c>
      <c r="Y11" s="73">
        <f t="shared" si="1"/>
        <v>-0.14501199862872816</v>
      </c>
      <c r="Z11" s="73">
        <f t="shared" ref="Z11:AI11" si="2">Z9/U9-1</f>
        <v>-7.5849056603773612E-2</v>
      </c>
      <c r="AA11" s="24">
        <f t="shared" si="2"/>
        <v>-9.6280664732260601E-2</v>
      </c>
      <c r="AB11" s="73">
        <f t="shared" si="2"/>
        <v>-0.12226277372262773</v>
      </c>
      <c r="AC11" s="73">
        <f t="shared" si="2"/>
        <v>-9.4026974951830433E-2</v>
      </c>
      <c r="AD11" s="73">
        <f t="shared" si="2"/>
        <v>-3.8492381716118684E-2</v>
      </c>
      <c r="AE11" s="73">
        <f t="shared" si="2"/>
        <v>-1.6333197223356466E-2</v>
      </c>
      <c r="AF11" s="24">
        <f t="shared" si="2"/>
        <v>-6.9566063436466208E-2</v>
      </c>
      <c r="AG11" s="73">
        <f t="shared" si="2"/>
        <v>-3.9085239085239087E-2</v>
      </c>
      <c r="AH11" s="73">
        <f t="shared" si="2"/>
        <v>-4.2960442364951112E-2</v>
      </c>
      <c r="AI11" s="73">
        <f t="shared" si="2"/>
        <v>-6.9224353628023372E-2</v>
      </c>
      <c r="AJ11" s="73">
        <f t="shared" ref="AJ11:AS11" si="3">AJ9/AE9-1</f>
        <v>-6.1021170610211728E-2</v>
      </c>
      <c r="AK11" s="24">
        <v>-5.3121405416710288E-2</v>
      </c>
      <c r="AL11" s="73">
        <v>-5.928169623539592E-2</v>
      </c>
      <c r="AM11" s="73">
        <v>0.15688888888888886</v>
      </c>
      <c r="AN11" s="73">
        <v>0.16577060931899634</v>
      </c>
      <c r="AO11" s="73">
        <v>0.15207780725022113</v>
      </c>
      <c r="AP11" s="24">
        <v>0.10270568746548858</v>
      </c>
      <c r="AQ11" s="73">
        <v>0.17709291628334856</v>
      </c>
      <c r="AR11" s="73">
        <v>-3.5343834037648847E-2</v>
      </c>
      <c r="AS11" s="73">
        <v>-3.5357417371252864E-2</v>
      </c>
      <c r="AT11" s="73">
        <v>-3.9140445126630841E-2</v>
      </c>
      <c r="AU11" s="24">
        <v>9.9148723084627743E-3</v>
      </c>
      <c r="AV11" s="73">
        <v>-4.14224306369676E-2</v>
      </c>
      <c r="AW11" s="73">
        <v>-1.9115890083632014E-2</v>
      </c>
      <c r="AX11" s="73">
        <v>-3.7848605577689209E-2</v>
      </c>
      <c r="AY11" s="73">
        <v>-1.8370607028754038E-2</v>
      </c>
      <c r="AZ11" s="24">
        <v>-2.9254264180880618E-2</v>
      </c>
      <c r="BA11" s="73">
        <v>-3.7505095801059873E-2</v>
      </c>
    </row>
    <row r="12" spans="1:53" s="36" customFormat="1">
      <c r="A12" s="69" t="s">
        <v>11</v>
      </c>
      <c r="B12" s="65">
        <v>1509</v>
      </c>
      <c r="C12" s="70">
        <v>368</v>
      </c>
      <c r="D12" s="70">
        <v>361</v>
      </c>
      <c r="E12" s="70">
        <v>365</v>
      </c>
      <c r="F12" s="70">
        <v>364</v>
      </c>
      <c r="G12" s="65">
        <v>1458</v>
      </c>
      <c r="H12" s="70">
        <v>371</v>
      </c>
      <c r="I12" s="70">
        <v>377</v>
      </c>
      <c r="J12" s="70">
        <v>361</v>
      </c>
      <c r="K12" s="70">
        <f>L12-J12-I12-H12</f>
        <v>376</v>
      </c>
      <c r="L12" s="65">
        <v>1485</v>
      </c>
      <c r="M12" s="70">
        <v>343</v>
      </c>
      <c r="N12" s="70">
        <v>348</v>
      </c>
      <c r="O12" s="70">
        <v>350</v>
      </c>
      <c r="P12" s="70">
        <f>Q12-O12-N12-M12</f>
        <v>368</v>
      </c>
      <c r="Q12" s="65">
        <v>1409</v>
      </c>
      <c r="R12" s="70">
        <v>335</v>
      </c>
      <c r="S12" s="70">
        <v>348</v>
      </c>
      <c r="T12" s="70">
        <v>357</v>
      </c>
      <c r="U12" s="70">
        <f>V12-T12-S12-R12</f>
        <v>355</v>
      </c>
      <c r="V12" s="65">
        <v>1395</v>
      </c>
      <c r="W12" s="70">
        <v>358</v>
      </c>
      <c r="X12" s="70">
        <v>358</v>
      </c>
      <c r="Y12" s="70">
        <v>359</v>
      </c>
      <c r="Z12" s="70">
        <f>AA12-Y12-X12-W12</f>
        <v>361</v>
      </c>
      <c r="AA12" s="65">
        <v>1436</v>
      </c>
      <c r="AB12" s="70">
        <v>328</v>
      </c>
      <c r="AC12" s="70">
        <v>326</v>
      </c>
      <c r="AD12" s="70">
        <v>329</v>
      </c>
      <c r="AE12" s="70">
        <f>AF12-AD12-AC12-AB12</f>
        <v>328</v>
      </c>
      <c r="AF12" s="65">
        <v>1311</v>
      </c>
      <c r="AG12" s="70">
        <v>314</v>
      </c>
      <c r="AH12" s="70">
        <v>319</v>
      </c>
      <c r="AI12" s="70">
        <v>327</v>
      </c>
      <c r="AJ12" s="70">
        <f>AK12-AI12-AH12-AG12</f>
        <v>321</v>
      </c>
      <c r="AK12" s="65">
        <v>1281</v>
      </c>
      <c r="AL12" s="70">
        <v>317</v>
      </c>
      <c r="AM12" s="70">
        <v>451</v>
      </c>
      <c r="AN12" s="70">
        <v>457</v>
      </c>
      <c r="AO12" s="70">
        <v>459</v>
      </c>
      <c r="AP12" s="65">
        <v>1684</v>
      </c>
      <c r="AQ12" s="70">
        <v>449</v>
      </c>
      <c r="AR12" s="70">
        <v>440</v>
      </c>
      <c r="AS12" s="70">
        <v>442</v>
      </c>
      <c r="AT12" s="70">
        <v>408</v>
      </c>
      <c r="AU12" s="65">
        <v>1739</v>
      </c>
      <c r="AV12" s="70">
        <v>428</v>
      </c>
      <c r="AW12" s="70">
        <v>424</v>
      </c>
      <c r="AX12" s="70">
        <v>436</v>
      </c>
      <c r="AY12" s="70">
        <v>427</v>
      </c>
      <c r="AZ12" s="65">
        <v>1715</v>
      </c>
      <c r="BA12" s="70">
        <v>525</v>
      </c>
    </row>
    <row r="13" spans="1:53">
      <c r="A13" s="71" t="s">
        <v>7</v>
      </c>
      <c r="B13" s="24"/>
      <c r="C13" s="72"/>
      <c r="D13" s="72">
        <f>D12/C12-1</f>
        <v>-1.9021739130434812E-2</v>
      </c>
      <c r="E13" s="72">
        <f>E12/D12-1</f>
        <v>1.1080332409972193E-2</v>
      </c>
      <c r="F13" s="72">
        <f>F12/E12-1</f>
        <v>-2.739726027397249E-3</v>
      </c>
      <c r="G13" s="24"/>
      <c r="H13" s="72">
        <f>H12/F12-1</f>
        <v>1.9230769230769162E-2</v>
      </c>
      <c r="I13" s="72">
        <f>I12/H12-1</f>
        <v>1.6172506738544534E-2</v>
      </c>
      <c r="J13" s="72">
        <f>J12/I12-1</f>
        <v>-4.2440318302387259E-2</v>
      </c>
      <c r="K13" s="72">
        <f>K12/J12-1</f>
        <v>4.1551246537396169E-2</v>
      </c>
      <c r="L13" s="24"/>
      <c r="M13" s="72">
        <f>M12/K12-1</f>
        <v>-8.7765957446808485E-2</v>
      </c>
      <c r="N13" s="72">
        <f>N12/M12-1</f>
        <v>1.4577259475218707E-2</v>
      </c>
      <c r="O13" s="72">
        <f>O12/N12-1</f>
        <v>5.7471264367816577E-3</v>
      </c>
      <c r="P13" s="72">
        <f>P12/O12-1</f>
        <v>5.1428571428571379E-2</v>
      </c>
      <c r="Q13" s="24"/>
      <c r="R13" s="72">
        <f>R12/P12-1</f>
        <v>-8.9673913043478271E-2</v>
      </c>
      <c r="S13" s="72">
        <f>S12/R12-1</f>
        <v>3.8805970149253799E-2</v>
      </c>
      <c r="T13" s="72">
        <f>T12/S12-1</f>
        <v>2.5862068965517349E-2</v>
      </c>
      <c r="U13" s="72">
        <f>U12/T12-1</f>
        <v>-5.6022408963585235E-3</v>
      </c>
      <c r="V13" s="24"/>
      <c r="W13" s="72">
        <f>W12/U12-1</f>
        <v>8.4507042253521014E-3</v>
      </c>
      <c r="X13" s="72">
        <f>X12/W12-1</f>
        <v>0</v>
      </c>
      <c r="Y13" s="72">
        <f>Y12/X12-1</f>
        <v>2.7932960893854997E-3</v>
      </c>
      <c r="Z13" s="72">
        <f>Z12/Y12-1</f>
        <v>5.5710306406684396E-3</v>
      </c>
      <c r="AA13" s="24"/>
      <c r="AB13" s="72">
        <f>AB12/Z12-1</f>
        <v>-9.1412742382271484E-2</v>
      </c>
      <c r="AC13" s="72">
        <f>AC12/AB12-1</f>
        <v>-6.0975609756097615E-3</v>
      </c>
      <c r="AD13" s="72">
        <f>AD12/AC12-1</f>
        <v>9.2024539877300082E-3</v>
      </c>
      <c r="AE13" s="72">
        <f>AE12/AD12-1</f>
        <v>-3.0395136778115228E-3</v>
      </c>
      <c r="AF13" s="24"/>
      <c r="AG13" s="72">
        <f>AG12/AE12-1</f>
        <v>-4.2682926829268331E-2</v>
      </c>
      <c r="AH13" s="72">
        <f>AH12/AG12-1</f>
        <v>1.5923566878980999E-2</v>
      </c>
      <c r="AI13" s="72">
        <f>AI12/AH12-1</f>
        <v>2.5078369905956022E-2</v>
      </c>
      <c r="AJ13" s="72">
        <f>AJ12/AI12-1</f>
        <v>-1.834862385321101E-2</v>
      </c>
      <c r="AK13" s="24"/>
      <c r="AL13" s="72">
        <v>-1.2461059190031154E-2</v>
      </c>
      <c r="AM13" s="72">
        <v>0.42271293375394325</v>
      </c>
      <c r="AN13" s="72">
        <v>1.3303769401330268E-2</v>
      </c>
      <c r="AO13" s="72">
        <v>4.3763676148795838E-3</v>
      </c>
      <c r="AP13" s="24"/>
      <c r="AQ13" s="72">
        <v>-2.1786492374727628E-2</v>
      </c>
      <c r="AR13" s="72">
        <v>-2.0044543429844075E-2</v>
      </c>
      <c r="AS13" s="72">
        <v>4.5454545454546302E-3</v>
      </c>
      <c r="AT13" s="72">
        <v>-7.6923076923076872E-2</v>
      </c>
      <c r="AU13" s="24"/>
      <c r="AV13" s="72">
        <v>4.9019607843137303E-2</v>
      </c>
      <c r="AW13" s="72">
        <v>-9.3457943925233655E-3</v>
      </c>
      <c r="AX13" s="72">
        <v>2.8301886792452935E-2</v>
      </c>
      <c r="AY13" s="72">
        <v>-2.0642201834862428E-2</v>
      </c>
      <c r="AZ13" s="24"/>
      <c r="BA13" s="72">
        <v>0.22950819672131151</v>
      </c>
    </row>
    <row r="14" spans="1:53">
      <c r="A14" s="71" t="s">
        <v>8</v>
      </c>
      <c r="B14" s="24"/>
      <c r="C14" s="73"/>
      <c r="D14" s="73"/>
      <c r="E14" s="73"/>
      <c r="F14" s="73"/>
      <c r="G14" s="24">
        <f t="shared" ref="G14:N14" si="4">G12/B12-1</f>
        <v>-3.379721669980118E-2</v>
      </c>
      <c r="H14" s="73">
        <f t="shared" si="4"/>
        <v>8.152173913043459E-3</v>
      </c>
      <c r="I14" s="73">
        <f t="shared" si="4"/>
        <v>4.4321329639889218E-2</v>
      </c>
      <c r="J14" s="73">
        <f t="shared" si="4"/>
        <v>-1.0958904109588996E-2</v>
      </c>
      <c r="K14" s="73">
        <f t="shared" si="4"/>
        <v>3.2967032967033072E-2</v>
      </c>
      <c r="L14" s="24">
        <f t="shared" si="4"/>
        <v>1.8518518518518601E-2</v>
      </c>
      <c r="M14" s="73">
        <f t="shared" si="4"/>
        <v>-7.547169811320753E-2</v>
      </c>
      <c r="N14" s="73">
        <f t="shared" si="4"/>
        <v>-7.6923076923076872E-2</v>
      </c>
      <c r="O14" s="73">
        <f t="shared" ref="O14:Y14" si="5">O12/J12-1</f>
        <v>-3.0470914127423865E-2</v>
      </c>
      <c r="P14" s="73">
        <f t="shared" si="5"/>
        <v>-2.1276595744680882E-2</v>
      </c>
      <c r="Q14" s="24">
        <f t="shared" si="5"/>
        <v>-5.1178451178451212E-2</v>
      </c>
      <c r="R14" s="73">
        <f t="shared" si="5"/>
        <v>-2.3323615160349864E-2</v>
      </c>
      <c r="S14" s="73">
        <f t="shared" si="5"/>
        <v>0</v>
      </c>
      <c r="T14" s="73">
        <f t="shared" si="5"/>
        <v>2.0000000000000018E-2</v>
      </c>
      <c r="U14" s="73">
        <f t="shared" si="5"/>
        <v>-3.5326086956521729E-2</v>
      </c>
      <c r="V14" s="24">
        <f t="shared" si="5"/>
        <v>-9.936124911284594E-3</v>
      </c>
      <c r="W14" s="73">
        <f t="shared" si="5"/>
        <v>6.8656716417910379E-2</v>
      </c>
      <c r="X14" s="73">
        <f t="shared" si="5"/>
        <v>2.8735632183908066E-2</v>
      </c>
      <c r="Y14" s="73">
        <f t="shared" si="5"/>
        <v>5.6022408963585235E-3</v>
      </c>
      <c r="Z14" s="73">
        <f t="shared" ref="Z14:AI14" si="6">Z12/U12-1</f>
        <v>1.6901408450704203E-2</v>
      </c>
      <c r="AA14" s="24">
        <f t="shared" si="6"/>
        <v>2.9390681003584218E-2</v>
      </c>
      <c r="AB14" s="73">
        <f t="shared" si="6"/>
        <v>-8.3798882681564213E-2</v>
      </c>
      <c r="AC14" s="73">
        <f t="shared" si="6"/>
        <v>-8.9385474860335212E-2</v>
      </c>
      <c r="AD14" s="73">
        <f t="shared" si="6"/>
        <v>-8.3565459610027815E-2</v>
      </c>
      <c r="AE14" s="73">
        <f t="shared" si="6"/>
        <v>-9.1412742382271484E-2</v>
      </c>
      <c r="AF14" s="24">
        <f t="shared" si="6"/>
        <v>-8.70473537604457E-2</v>
      </c>
      <c r="AG14" s="73">
        <f t="shared" si="6"/>
        <v>-4.2682926829268331E-2</v>
      </c>
      <c r="AH14" s="73">
        <f t="shared" si="6"/>
        <v>-2.1472392638036797E-2</v>
      </c>
      <c r="AI14" s="73">
        <f t="shared" si="6"/>
        <v>-6.0790273556230456E-3</v>
      </c>
      <c r="AJ14" s="73">
        <f t="shared" ref="AJ14:AS14" si="7">AJ12/AE12-1</f>
        <v>-2.1341463414634165E-2</v>
      </c>
      <c r="AK14" s="24">
        <v>-2.2883295194508046E-2</v>
      </c>
      <c r="AL14" s="73">
        <v>9.5541401273886439E-3</v>
      </c>
      <c r="AM14" s="73">
        <v>0.4137931034482758</v>
      </c>
      <c r="AN14" s="73">
        <v>0.39755351681957185</v>
      </c>
      <c r="AO14" s="73">
        <v>0.42990654205607481</v>
      </c>
      <c r="AP14" s="24">
        <v>0.31459797033567516</v>
      </c>
      <c r="AQ14" s="73">
        <v>0.41640378548895907</v>
      </c>
      <c r="AR14" s="73">
        <v>-2.4390243902439046E-2</v>
      </c>
      <c r="AS14" s="73">
        <v>-3.2822757111597323E-2</v>
      </c>
      <c r="AT14" s="73">
        <v>-0.11111111111111116</v>
      </c>
      <c r="AU14" s="24">
        <v>3.2660332541567749E-2</v>
      </c>
      <c r="AV14" s="73">
        <v>-4.6770601336302842E-2</v>
      </c>
      <c r="AW14" s="73">
        <v>-3.6363636363636376E-2</v>
      </c>
      <c r="AX14" s="73">
        <v>-1.3574660633484115E-2</v>
      </c>
      <c r="AY14" s="73">
        <v>4.6568627450980449E-2</v>
      </c>
      <c r="AZ14" s="24">
        <v>-1.3801035077630863E-2</v>
      </c>
      <c r="BA14" s="73">
        <v>0.22663551401869153</v>
      </c>
    </row>
    <row r="15" spans="1:53">
      <c r="A15" s="69" t="s">
        <v>85</v>
      </c>
      <c r="B15" s="65">
        <v>2192</v>
      </c>
      <c r="C15" s="80" t="s">
        <v>53</v>
      </c>
      <c r="D15" s="80" t="s">
        <v>53</v>
      </c>
      <c r="E15" s="80" t="s">
        <v>53</v>
      </c>
      <c r="F15" s="80" t="s">
        <v>53</v>
      </c>
      <c r="G15" s="65">
        <v>2161</v>
      </c>
      <c r="H15" s="120" t="s">
        <v>45</v>
      </c>
      <c r="I15" s="120" t="s">
        <v>45</v>
      </c>
      <c r="J15" s="120" t="s">
        <v>45</v>
      </c>
      <c r="K15" s="120" t="s">
        <v>45</v>
      </c>
      <c r="L15" s="65">
        <v>1990</v>
      </c>
      <c r="M15" s="70">
        <v>505</v>
      </c>
      <c r="N15" s="70">
        <v>489</v>
      </c>
      <c r="O15" s="70">
        <v>492</v>
      </c>
      <c r="P15" s="70">
        <f>Q15-O15-N15-M15</f>
        <v>538</v>
      </c>
      <c r="Q15" s="65">
        <v>2024</v>
      </c>
      <c r="R15" s="70">
        <v>532</v>
      </c>
      <c r="S15" s="70">
        <v>540</v>
      </c>
      <c r="T15" s="70">
        <v>540</v>
      </c>
      <c r="U15" s="70">
        <f>V15-T15-S15-R15</f>
        <v>478</v>
      </c>
      <c r="V15" s="65">
        <v>2090</v>
      </c>
      <c r="W15" s="70">
        <v>511</v>
      </c>
      <c r="X15" s="70">
        <v>505</v>
      </c>
      <c r="Y15" s="70">
        <v>511</v>
      </c>
      <c r="Z15" s="70">
        <f>AA15-Y15-X15-W15</f>
        <v>449</v>
      </c>
      <c r="AA15" s="65">
        <v>1976</v>
      </c>
      <c r="AB15" s="70">
        <v>499</v>
      </c>
      <c r="AC15" s="70">
        <v>468</v>
      </c>
      <c r="AD15" s="70">
        <v>464</v>
      </c>
      <c r="AE15" s="70">
        <f>AF15-AD15-AC15-AB15</f>
        <v>441</v>
      </c>
      <c r="AF15" s="65">
        <v>1872</v>
      </c>
      <c r="AG15" s="70">
        <v>448</v>
      </c>
      <c r="AH15" s="70">
        <v>443</v>
      </c>
      <c r="AI15" s="70">
        <v>437</v>
      </c>
      <c r="AJ15" s="70">
        <f>AK15-AI15-AH15-AG15</f>
        <v>440</v>
      </c>
      <c r="AK15" s="65">
        <v>1768</v>
      </c>
      <c r="AL15" s="70">
        <v>439</v>
      </c>
      <c r="AM15" s="70">
        <v>497</v>
      </c>
      <c r="AN15" s="70">
        <v>506</v>
      </c>
      <c r="AO15" s="70">
        <v>515</v>
      </c>
      <c r="AP15" s="65">
        <v>1957</v>
      </c>
      <c r="AQ15" s="70">
        <v>513</v>
      </c>
      <c r="AR15" s="70">
        <v>495</v>
      </c>
      <c r="AS15" s="70">
        <v>501</v>
      </c>
      <c r="AT15" s="70">
        <v>503</v>
      </c>
      <c r="AU15" s="65">
        <v>2012</v>
      </c>
      <c r="AV15" s="70">
        <v>504</v>
      </c>
      <c r="AW15" s="70">
        <v>494</v>
      </c>
      <c r="AX15" s="70">
        <v>502</v>
      </c>
      <c r="AY15" s="70">
        <v>505</v>
      </c>
      <c r="AZ15" s="65">
        <v>2005</v>
      </c>
      <c r="BA15" s="70">
        <v>510</v>
      </c>
    </row>
    <row r="16" spans="1:53">
      <c r="A16" s="71" t="s">
        <v>7</v>
      </c>
      <c r="B16" s="24"/>
      <c r="C16" s="73"/>
      <c r="D16" s="73"/>
      <c r="E16" s="73"/>
      <c r="F16" s="73"/>
      <c r="G16" s="24"/>
      <c r="H16" s="72"/>
      <c r="I16" s="72"/>
      <c r="J16" s="72"/>
      <c r="K16" s="72"/>
      <c r="L16" s="24"/>
      <c r="M16" s="72"/>
      <c r="N16" s="72">
        <f>N15/M15-1</f>
        <v>-3.1683168316831711E-2</v>
      </c>
      <c r="O16" s="72">
        <f>O15/N15-1</f>
        <v>6.1349693251533388E-3</v>
      </c>
      <c r="P16" s="72">
        <f>P15/O15-1</f>
        <v>9.3495934959349603E-2</v>
      </c>
      <c r="Q16" s="24"/>
      <c r="R16" s="72">
        <f>R15/P15-1</f>
        <v>-1.1152416356877359E-2</v>
      </c>
      <c r="S16" s="72">
        <f>S15/R15-1</f>
        <v>1.5037593984962516E-2</v>
      </c>
      <c r="T16" s="72">
        <f>T15/S15-1</f>
        <v>0</v>
      </c>
      <c r="U16" s="72">
        <f>U15/T15-1</f>
        <v>-0.11481481481481481</v>
      </c>
      <c r="V16" s="24"/>
      <c r="W16" s="72">
        <f>W15/U15-1</f>
        <v>6.9037656903765621E-2</v>
      </c>
      <c r="X16" s="72">
        <f>X15/W15-1</f>
        <v>-1.1741682974559686E-2</v>
      </c>
      <c r="Y16" s="72">
        <f>Y15/X15-1</f>
        <v>1.1881188118811892E-2</v>
      </c>
      <c r="Z16" s="72">
        <f>Z15/Y15-1</f>
        <v>-0.12133072407045009</v>
      </c>
      <c r="AA16" s="24"/>
      <c r="AB16" s="72">
        <f>AB15/Z15-1</f>
        <v>0.11135857461024501</v>
      </c>
      <c r="AC16" s="72">
        <f>AC15/AB15-1</f>
        <v>-6.2124248496993939E-2</v>
      </c>
      <c r="AD16" s="72">
        <f>AD15/AC15-1</f>
        <v>-8.5470085470085166E-3</v>
      </c>
      <c r="AE16" s="72">
        <f>AE15/AD15-1</f>
        <v>-4.9568965517241326E-2</v>
      </c>
      <c r="AF16" s="24"/>
      <c r="AG16" s="72">
        <f>AG15/AE15-1</f>
        <v>1.5873015873015817E-2</v>
      </c>
      <c r="AH16" s="72">
        <f>AH15/AG15-1</f>
        <v>-1.1160714285714302E-2</v>
      </c>
      <c r="AI16" s="72">
        <f>AI15/AH15-1</f>
        <v>-1.3544018058690765E-2</v>
      </c>
      <c r="AJ16" s="72">
        <f>AJ15/AI15-1</f>
        <v>6.8649885583524917E-3</v>
      </c>
      <c r="AK16" s="24"/>
      <c r="AL16" s="72">
        <v>-2.2727272727273151E-3</v>
      </c>
      <c r="AM16" s="72">
        <v>0.13211845102505704</v>
      </c>
      <c r="AN16" s="72">
        <v>1.810865191146882E-2</v>
      </c>
      <c r="AO16" s="72">
        <v>1.7786561264822032E-2</v>
      </c>
      <c r="AP16" s="24"/>
      <c r="AQ16" s="72">
        <v>-3.8834951456310218E-3</v>
      </c>
      <c r="AR16" s="72">
        <v>-3.5087719298245612E-2</v>
      </c>
      <c r="AS16" s="72">
        <v>1.2121212121212199E-2</v>
      </c>
      <c r="AT16" s="72">
        <v>3.9920159680639777E-3</v>
      </c>
      <c r="AU16" s="24"/>
      <c r="AV16" s="72">
        <v>1.9880715705764551E-3</v>
      </c>
      <c r="AW16" s="72">
        <v>-1.9841269841269882E-2</v>
      </c>
      <c r="AX16" s="72">
        <v>1.6194331983805599E-2</v>
      </c>
      <c r="AY16" s="72">
        <v>5.9760956175298752E-3</v>
      </c>
      <c r="AZ16" s="24"/>
      <c r="BA16" s="72">
        <v>9.9009900990099098E-3</v>
      </c>
    </row>
    <row r="17" spans="1:53">
      <c r="A17" s="71" t="s">
        <v>8</v>
      </c>
      <c r="B17" s="24"/>
      <c r="C17" s="73"/>
      <c r="D17" s="73"/>
      <c r="E17" s="73"/>
      <c r="F17" s="73"/>
      <c r="G17" s="24">
        <f>G15/B15-1</f>
        <v>-1.414233576642332E-2</v>
      </c>
      <c r="H17" s="73"/>
      <c r="I17" s="73"/>
      <c r="J17" s="73"/>
      <c r="K17" s="73"/>
      <c r="L17" s="24">
        <f>L15/G15-1</f>
        <v>-7.9130032392410898E-2</v>
      </c>
      <c r="M17" s="73"/>
      <c r="N17" s="73"/>
      <c r="O17" s="72"/>
      <c r="P17" s="70"/>
      <c r="Q17" s="24">
        <f t="shared" ref="Q17:Y17" si="8">Q15/L15-1</f>
        <v>1.7085427135678399E-2</v>
      </c>
      <c r="R17" s="73">
        <f t="shared" si="8"/>
        <v>5.3465346534653513E-2</v>
      </c>
      <c r="S17" s="73">
        <f t="shared" si="8"/>
        <v>0.10429447852760743</v>
      </c>
      <c r="T17" s="73">
        <f t="shared" si="8"/>
        <v>9.7560975609756184E-2</v>
      </c>
      <c r="U17" s="73">
        <f t="shared" si="8"/>
        <v>-0.11152416356877326</v>
      </c>
      <c r="V17" s="24">
        <f t="shared" si="8"/>
        <v>3.2608695652173836E-2</v>
      </c>
      <c r="W17" s="73">
        <f t="shared" si="8"/>
        <v>-3.9473684210526327E-2</v>
      </c>
      <c r="X17" s="73">
        <f t="shared" si="8"/>
        <v>-6.481481481481477E-2</v>
      </c>
      <c r="Y17" s="73">
        <f t="shared" si="8"/>
        <v>-5.3703703703703698E-2</v>
      </c>
      <c r="Z17" s="73">
        <f t="shared" ref="Z17:AI17" si="9">Z15/U15-1</f>
        <v>-6.0669456066945626E-2</v>
      </c>
      <c r="AA17" s="24">
        <f t="shared" si="9"/>
        <v>-5.4545454545454564E-2</v>
      </c>
      <c r="AB17" s="73">
        <f t="shared" si="9"/>
        <v>-2.3483365949119372E-2</v>
      </c>
      <c r="AC17" s="73">
        <f t="shared" si="9"/>
        <v>-7.3267326732673221E-2</v>
      </c>
      <c r="AD17" s="73">
        <f t="shared" si="9"/>
        <v>-9.1976516634050931E-2</v>
      </c>
      <c r="AE17" s="73">
        <f t="shared" si="9"/>
        <v>-1.7817371937639215E-2</v>
      </c>
      <c r="AF17" s="24">
        <f t="shared" si="9"/>
        <v>-5.2631578947368474E-2</v>
      </c>
      <c r="AG17" s="73">
        <f t="shared" si="9"/>
        <v>-0.10220440881763526</v>
      </c>
      <c r="AH17" s="73">
        <f t="shared" si="9"/>
        <v>-5.3418803418803451E-2</v>
      </c>
      <c r="AI17" s="73">
        <f t="shared" si="9"/>
        <v>-5.8189655172413812E-2</v>
      </c>
      <c r="AJ17" s="73">
        <f t="shared" ref="AJ17:AS17" si="10">AJ15/AE15-1</f>
        <v>-2.2675736961451642E-3</v>
      </c>
      <c r="AK17" s="24">
        <v>-5.555555555555558E-2</v>
      </c>
      <c r="AL17" s="73">
        <v>-2.0089285714285698E-2</v>
      </c>
      <c r="AM17" s="73">
        <v>0.12189616252821667</v>
      </c>
      <c r="AN17" s="73">
        <v>0.15789473684210531</v>
      </c>
      <c r="AO17" s="73">
        <v>0.17045454545454541</v>
      </c>
      <c r="AP17" s="24">
        <v>0.10690045248868785</v>
      </c>
      <c r="AQ17" s="73">
        <v>0.16856492027334857</v>
      </c>
      <c r="AR17" s="73">
        <v>-4.0241448692153181E-3</v>
      </c>
      <c r="AS17" s="73">
        <v>-9.8814229249012397E-3</v>
      </c>
      <c r="AT17" s="73">
        <v>-2.3300970873786353E-2</v>
      </c>
      <c r="AU17" s="24">
        <v>2.8104241185487933E-2</v>
      </c>
      <c r="AV17" s="73">
        <v>-1.7543859649122862E-2</v>
      </c>
      <c r="AW17" s="73">
        <v>-2.0202020202020332E-3</v>
      </c>
      <c r="AX17" s="73">
        <v>1.9960079840319889E-3</v>
      </c>
      <c r="AY17" s="73">
        <v>3.9761431411531323E-3</v>
      </c>
      <c r="AZ17" s="24">
        <v>-3.4791252485089075E-3</v>
      </c>
      <c r="BA17" s="73">
        <v>1.1904761904761862E-2</v>
      </c>
    </row>
    <row r="18" spans="1:53">
      <c r="A18" s="69" t="s">
        <v>106</v>
      </c>
      <c r="B18" s="65">
        <v>39</v>
      </c>
      <c r="C18" s="80" t="s">
        <v>53</v>
      </c>
      <c r="D18" s="80" t="s">
        <v>53</v>
      </c>
      <c r="E18" s="80" t="s">
        <v>53</v>
      </c>
      <c r="F18" s="80" t="s">
        <v>53</v>
      </c>
      <c r="G18" s="65">
        <v>96</v>
      </c>
      <c r="H18" s="120" t="s">
        <v>45</v>
      </c>
      <c r="I18" s="120" t="s">
        <v>45</v>
      </c>
      <c r="J18" s="120" t="s">
        <v>45</v>
      </c>
      <c r="K18" s="120" t="s">
        <v>45</v>
      </c>
      <c r="L18" s="65">
        <v>201</v>
      </c>
      <c r="M18" s="186">
        <v>-25</v>
      </c>
      <c r="N18" s="186">
        <v>-70</v>
      </c>
      <c r="O18" s="186">
        <v>-59</v>
      </c>
      <c r="P18" s="186">
        <f>Q18-O18-N18-M18</f>
        <v>-62</v>
      </c>
      <c r="Q18" s="178">
        <v>-216</v>
      </c>
      <c r="R18" s="186">
        <v>250</v>
      </c>
      <c r="S18" s="186">
        <v>-62</v>
      </c>
      <c r="T18" s="186">
        <v>-106</v>
      </c>
      <c r="U18" s="186">
        <f>V18-T18-S18-R18</f>
        <v>57</v>
      </c>
      <c r="V18" s="65">
        <v>139</v>
      </c>
      <c r="W18" s="186">
        <v>-23</v>
      </c>
      <c r="X18" s="186">
        <v>17</v>
      </c>
      <c r="Y18" s="186">
        <v>-6</v>
      </c>
      <c r="Z18" s="186">
        <f>AA18-Y18-X18-W18</f>
        <v>-116</v>
      </c>
      <c r="AA18" s="178">
        <v>-128</v>
      </c>
      <c r="AB18" s="186">
        <v>-72</v>
      </c>
      <c r="AC18" s="186">
        <v>-18</v>
      </c>
      <c r="AD18" s="186">
        <v>-6</v>
      </c>
      <c r="AE18" s="186">
        <f>AF18-AD18-AC18-AB18</f>
        <v>81</v>
      </c>
      <c r="AF18" s="178">
        <v>-15</v>
      </c>
      <c r="AG18" s="186">
        <v>-8</v>
      </c>
      <c r="AH18" s="186">
        <v>-568</v>
      </c>
      <c r="AI18" s="186">
        <v>-25</v>
      </c>
      <c r="AJ18" s="186">
        <f>AK18-AI18-AH18-AG18</f>
        <v>15</v>
      </c>
      <c r="AK18" s="178">
        <v>-586</v>
      </c>
      <c r="AL18" s="186">
        <v>-17</v>
      </c>
      <c r="AM18" s="186">
        <v>-141</v>
      </c>
      <c r="AN18" s="186">
        <v>-13</v>
      </c>
      <c r="AO18" s="186">
        <v>76</v>
      </c>
      <c r="AP18" s="178">
        <v>-95</v>
      </c>
      <c r="AQ18" s="186">
        <v>5</v>
      </c>
      <c r="AR18" s="186">
        <v>-12</v>
      </c>
      <c r="AS18" s="186">
        <v>-26</v>
      </c>
      <c r="AT18" s="186">
        <v>33</v>
      </c>
      <c r="AU18" s="178">
        <v>0</v>
      </c>
      <c r="AV18" s="186">
        <v>-4</v>
      </c>
      <c r="AW18" s="186">
        <v>-1</v>
      </c>
      <c r="AX18" s="186">
        <v>-23</v>
      </c>
      <c r="AY18" s="186">
        <v>96</v>
      </c>
      <c r="AZ18" s="178">
        <v>68</v>
      </c>
      <c r="BA18" s="186">
        <v>23</v>
      </c>
    </row>
    <row r="19" spans="1:53">
      <c r="A19" s="71" t="s">
        <v>7</v>
      </c>
      <c r="B19" s="24"/>
      <c r="C19" s="73"/>
      <c r="D19" s="73"/>
      <c r="E19" s="73"/>
      <c r="F19" s="73"/>
      <c r="G19" s="24"/>
      <c r="H19" s="73"/>
      <c r="I19" s="73"/>
      <c r="J19" s="73"/>
      <c r="K19" s="73"/>
      <c r="L19" s="24"/>
      <c r="M19" s="73"/>
      <c r="N19" s="72">
        <f>N18/M18-1</f>
        <v>1.7999999999999998</v>
      </c>
      <c r="O19" s="72">
        <f>O18/N18-1</f>
        <v>-0.15714285714285714</v>
      </c>
      <c r="P19" s="72">
        <f>P18/O18-1</f>
        <v>5.0847457627118731E-2</v>
      </c>
      <c r="Q19" s="24"/>
      <c r="R19" s="85" t="s">
        <v>49</v>
      </c>
      <c r="S19" s="85" t="s">
        <v>49</v>
      </c>
      <c r="T19" s="72">
        <f>T18/S18-1</f>
        <v>0.70967741935483875</v>
      </c>
      <c r="U19" s="85" t="s">
        <v>49</v>
      </c>
      <c r="V19" s="24"/>
      <c r="W19" s="85" t="s">
        <v>49</v>
      </c>
      <c r="X19" s="85" t="s">
        <v>49</v>
      </c>
      <c r="Y19" s="85" t="s">
        <v>49</v>
      </c>
      <c r="Z19" s="85" t="s">
        <v>49</v>
      </c>
      <c r="AA19" s="24"/>
      <c r="AB19" s="85" t="s">
        <v>44</v>
      </c>
      <c r="AC19" s="85" t="s">
        <v>44</v>
      </c>
      <c r="AD19" s="85" t="s">
        <v>44</v>
      </c>
      <c r="AE19" s="85" t="s">
        <v>44</v>
      </c>
      <c r="AF19" s="24"/>
      <c r="AG19" s="85" t="s">
        <v>44</v>
      </c>
      <c r="AH19" s="85" t="s">
        <v>44</v>
      </c>
      <c r="AI19" s="85" t="s">
        <v>44</v>
      </c>
      <c r="AJ19" s="85" t="s">
        <v>44</v>
      </c>
      <c r="AK19" s="24"/>
      <c r="AL19" s="85" t="s">
        <v>49</v>
      </c>
      <c r="AM19" s="72">
        <v>7.2941176470588243</v>
      </c>
      <c r="AN19" s="72">
        <v>-0.90780141843971629</v>
      </c>
      <c r="AO19" s="85" t="s">
        <v>44</v>
      </c>
      <c r="AP19" s="24"/>
      <c r="AQ19" s="72">
        <v>-0.93421052631578949</v>
      </c>
      <c r="AR19" s="72">
        <v>-3.4</v>
      </c>
      <c r="AS19" s="72">
        <v>1.1666666666666665</v>
      </c>
      <c r="AT19" s="85" t="s">
        <v>44</v>
      </c>
      <c r="AU19" s="24"/>
      <c r="AV19" s="85" t="s">
        <v>44</v>
      </c>
      <c r="AW19" s="72">
        <v>-0.75</v>
      </c>
      <c r="AX19" s="72">
        <v>22</v>
      </c>
      <c r="AY19" s="85" t="s">
        <v>44</v>
      </c>
      <c r="AZ19" s="24"/>
      <c r="BA19" s="72">
        <v>-0.76041666666666663</v>
      </c>
    </row>
    <row r="20" spans="1:53">
      <c r="A20" s="71" t="s">
        <v>8</v>
      </c>
      <c r="B20" s="24"/>
      <c r="C20" s="73"/>
      <c r="D20" s="73"/>
      <c r="E20" s="73"/>
      <c r="F20" s="73"/>
      <c r="G20" s="24"/>
      <c r="H20" s="73"/>
      <c r="I20" s="73"/>
      <c r="J20" s="73"/>
      <c r="K20" s="73"/>
      <c r="L20" s="92" t="s">
        <v>44</v>
      </c>
      <c r="M20" s="73"/>
      <c r="N20" s="73"/>
      <c r="O20" s="73"/>
      <c r="P20" s="73"/>
      <c r="Q20" s="92" t="s">
        <v>49</v>
      </c>
      <c r="R20" s="85" t="s">
        <v>49</v>
      </c>
      <c r="S20" s="73">
        <f>S18/N18-1</f>
        <v>-0.11428571428571432</v>
      </c>
      <c r="T20" s="73">
        <f>T18/O18-1</f>
        <v>0.79661016949152552</v>
      </c>
      <c r="U20" s="85" t="s">
        <v>49</v>
      </c>
      <c r="V20" s="92" t="s">
        <v>49</v>
      </c>
      <c r="W20" s="85" t="s">
        <v>49</v>
      </c>
      <c r="X20" s="85" t="s">
        <v>49</v>
      </c>
      <c r="Y20" s="73">
        <f>Y18/T18-1</f>
        <v>-0.94339622641509435</v>
      </c>
      <c r="Z20" s="85" t="s">
        <v>49</v>
      </c>
      <c r="AA20" s="92" t="s">
        <v>49</v>
      </c>
      <c r="AB20" s="85" t="s">
        <v>44</v>
      </c>
      <c r="AC20" s="85" t="s">
        <v>44</v>
      </c>
      <c r="AD20" s="85" t="s">
        <v>44</v>
      </c>
      <c r="AE20" s="85" t="s">
        <v>44</v>
      </c>
      <c r="AF20" s="92" t="s">
        <v>44</v>
      </c>
      <c r="AG20" s="85" t="s">
        <v>44</v>
      </c>
      <c r="AH20" s="85" t="s">
        <v>44</v>
      </c>
      <c r="AI20" s="85" t="s">
        <v>44</v>
      </c>
      <c r="AJ20" s="85" t="s">
        <v>44</v>
      </c>
      <c r="AK20" s="92" t="s">
        <v>44</v>
      </c>
      <c r="AL20" s="85" t="s">
        <v>49</v>
      </c>
      <c r="AM20" s="73">
        <v>-0.75176056338028174</v>
      </c>
      <c r="AN20" s="73">
        <v>-0.48</v>
      </c>
      <c r="AO20" s="73">
        <v>4.0666666666666664</v>
      </c>
      <c r="AP20" s="24">
        <v>-0.83788395904436863</v>
      </c>
      <c r="AQ20" s="85" t="s">
        <v>44</v>
      </c>
      <c r="AR20" s="73">
        <v>-0.91489361702127658</v>
      </c>
      <c r="AS20" s="73">
        <v>1</v>
      </c>
      <c r="AT20" s="73">
        <v>-0.56578947368421051</v>
      </c>
      <c r="AU20" s="92" t="s">
        <v>44</v>
      </c>
      <c r="AV20" s="85" t="s">
        <v>44</v>
      </c>
      <c r="AW20" s="73">
        <v>-0.91666666666666663</v>
      </c>
      <c r="AX20" s="73">
        <v>-0.11538461538461542</v>
      </c>
      <c r="AY20" s="73">
        <v>1.9090909090909092</v>
      </c>
      <c r="AZ20" s="92" t="s">
        <v>44</v>
      </c>
      <c r="BA20" s="85" t="s">
        <v>44</v>
      </c>
    </row>
    <row r="21" spans="1:53" s="36" customFormat="1">
      <c r="A21" s="69" t="s">
        <v>69</v>
      </c>
      <c r="B21" s="65">
        <v>2321</v>
      </c>
      <c r="C21" s="70">
        <v>641</v>
      </c>
      <c r="D21" s="70">
        <v>772</v>
      </c>
      <c r="E21" s="70">
        <v>775</v>
      </c>
      <c r="F21" s="70">
        <v>452</v>
      </c>
      <c r="G21" s="65">
        <v>2640</v>
      </c>
      <c r="H21" s="70">
        <v>799</v>
      </c>
      <c r="I21" s="70">
        <v>818</v>
      </c>
      <c r="J21" s="70">
        <v>875</v>
      </c>
      <c r="K21" s="70">
        <f>L21-J21-I21-H21</f>
        <v>480</v>
      </c>
      <c r="L21" s="65">
        <v>2972</v>
      </c>
      <c r="M21" s="70">
        <v>874</v>
      </c>
      <c r="N21" s="70">
        <v>990</v>
      </c>
      <c r="O21" s="70">
        <v>979</v>
      </c>
      <c r="P21" s="70">
        <f>Q21-O21-N21-M21</f>
        <v>901</v>
      </c>
      <c r="Q21" s="65">
        <v>3744</v>
      </c>
      <c r="R21" s="70">
        <v>665</v>
      </c>
      <c r="S21" s="70">
        <v>935</v>
      </c>
      <c r="T21" s="70">
        <v>944</v>
      </c>
      <c r="U21" s="70">
        <f>V21-T21-S21-R21</f>
        <v>711</v>
      </c>
      <c r="V21" s="65">
        <v>3255</v>
      </c>
      <c r="W21" s="70">
        <v>850</v>
      </c>
      <c r="X21" s="70">
        <v>746</v>
      </c>
      <c r="Y21" s="70">
        <v>667</v>
      </c>
      <c r="Z21" s="70">
        <f>AA21-Y21-X21-W21</f>
        <v>778</v>
      </c>
      <c r="AA21" s="65">
        <v>3041</v>
      </c>
      <c r="AB21" s="70">
        <v>761</v>
      </c>
      <c r="AC21" s="70">
        <v>744</v>
      </c>
      <c r="AD21" s="70">
        <v>721</v>
      </c>
      <c r="AE21" s="70">
        <f>AF21-AD21-AC21-AB21</f>
        <v>593</v>
      </c>
      <c r="AF21" s="65">
        <v>2819</v>
      </c>
      <c r="AG21" s="70">
        <v>688</v>
      </c>
      <c r="AH21" s="70">
        <v>1234</v>
      </c>
      <c r="AI21" s="70">
        <v>671</v>
      </c>
      <c r="AJ21" s="70">
        <f>AK21-AI21-AH21-AG21</f>
        <v>633</v>
      </c>
      <c r="AK21" s="65">
        <v>3226</v>
      </c>
      <c r="AL21" s="70">
        <v>636</v>
      </c>
      <c r="AM21" s="70">
        <v>794</v>
      </c>
      <c r="AN21" s="70">
        <v>652</v>
      </c>
      <c r="AO21" s="70">
        <v>488</v>
      </c>
      <c r="AP21" s="65">
        <v>2570</v>
      </c>
      <c r="AQ21" s="70">
        <v>574</v>
      </c>
      <c r="AR21" s="70">
        <v>616</v>
      </c>
      <c r="AS21" s="70">
        <v>599</v>
      </c>
      <c r="AT21" s="70">
        <v>532</v>
      </c>
      <c r="AU21" s="65">
        <v>2321</v>
      </c>
      <c r="AV21" s="70">
        <v>566</v>
      </c>
      <c r="AW21" s="70">
        <v>573</v>
      </c>
      <c r="AX21" s="70">
        <v>544</v>
      </c>
      <c r="AY21" s="70">
        <v>427</v>
      </c>
      <c r="AZ21" s="65">
        <v>2110</v>
      </c>
      <c r="BA21" s="70">
        <v>462</v>
      </c>
    </row>
    <row r="22" spans="1:53">
      <c r="A22" s="71" t="s">
        <v>7</v>
      </c>
      <c r="B22" s="24"/>
      <c r="C22" s="72"/>
      <c r="D22" s="72">
        <f>D21/C21-1</f>
        <v>0.20436817472698898</v>
      </c>
      <c r="E22" s="72">
        <f>E21/D21-1</f>
        <v>3.8860103626943143E-3</v>
      </c>
      <c r="F22" s="72">
        <f>F21/E21-1</f>
        <v>-0.41677419354838707</v>
      </c>
      <c r="G22" s="24"/>
      <c r="H22" s="72">
        <f>H21/F21-1</f>
        <v>0.76769911504424782</v>
      </c>
      <c r="I22" s="72">
        <f>I21/H21-1</f>
        <v>2.3779724655819789E-2</v>
      </c>
      <c r="J22" s="72">
        <f>J21/I21-1</f>
        <v>6.968215158924207E-2</v>
      </c>
      <c r="K22" s="72">
        <f>K21/J21-1</f>
        <v>-0.4514285714285714</v>
      </c>
      <c r="L22" s="24"/>
      <c r="M22" s="72">
        <f>M21/K21-1</f>
        <v>0.8208333333333333</v>
      </c>
      <c r="N22" s="72">
        <f>N21/M21-1</f>
        <v>0.13272311212814647</v>
      </c>
      <c r="O22" s="72">
        <f>O21/N21-1</f>
        <v>-1.1111111111111072E-2</v>
      </c>
      <c r="P22" s="72">
        <f>P21/O21-1</f>
        <v>-7.9673135852911137E-2</v>
      </c>
      <c r="Q22" s="24"/>
      <c r="R22" s="72">
        <f>R21/P21-1</f>
        <v>-0.2619311875693674</v>
      </c>
      <c r="S22" s="72">
        <f>S21/R21-1</f>
        <v>0.40601503759398505</v>
      </c>
      <c r="T22" s="72">
        <f>T21/S21-1</f>
        <v>9.6256684491977662E-3</v>
      </c>
      <c r="U22" s="72">
        <f>U21/T21-1</f>
        <v>-0.24682203389830504</v>
      </c>
      <c r="V22" s="24"/>
      <c r="W22" s="72">
        <f>W21/U21-1</f>
        <v>0.19549929676511946</v>
      </c>
      <c r="X22" s="72">
        <f>X21/W21-1</f>
        <v>-0.12235294117647055</v>
      </c>
      <c r="Y22" s="72">
        <f>Y21/X21-1</f>
        <v>-0.10589812332439674</v>
      </c>
      <c r="Z22" s="72">
        <f>Z21/Y21-1</f>
        <v>0.16641679160419787</v>
      </c>
      <c r="AA22" s="24"/>
      <c r="AB22" s="72">
        <f>AB21/Z21-1</f>
        <v>-2.1850899742930641E-2</v>
      </c>
      <c r="AC22" s="72">
        <f>AC21/AB21-1</f>
        <v>-2.2339027595269401E-2</v>
      </c>
      <c r="AD22" s="72">
        <f>AD21/AC21-1</f>
        <v>-3.0913978494623628E-2</v>
      </c>
      <c r="AE22" s="72">
        <f>AE21/AD21-1</f>
        <v>-0.17753120665742028</v>
      </c>
      <c r="AF22" s="24"/>
      <c r="AG22" s="72">
        <f>AG21/AE21-1</f>
        <v>0.16020236087689721</v>
      </c>
      <c r="AH22" s="72">
        <f>AH21/AG21-1</f>
        <v>0.79360465116279078</v>
      </c>
      <c r="AI22" s="72">
        <f>AI21/AH21-1</f>
        <v>-0.45623987034035651</v>
      </c>
      <c r="AJ22" s="72">
        <f>AJ21/AI21-1</f>
        <v>-5.663189269746649E-2</v>
      </c>
      <c r="AK22" s="24"/>
      <c r="AL22" s="72">
        <v>4.7393364928909332E-3</v>
      </c>
      <c r="AM22" s="72">
        <v>0.2484276729559749</v>
      </c>
      <c r="AN22" s="72">
        <v>-0.17884130982367763</v>
      </c>
      <c r="AO22" s="72">
        <v>-0.25153374233128833</v>
      </c>
      <c r="AP22" s="24"/>
      <c r="AQ22" s="72">
        <v>0.17622950819672134</v>
      </c>
      <c r="AR22" s="72">
        <v>7.3170731707317138E-2</v>
      </c>
      <c r="AS22" s="72">
        <v>-2.759740259740262E-2</v>
      </c>
      <c r="AT22" s="72">
        <v>-0.11185308848080133</v>
      </c>
      <c r="AU22" s="24"/>
      <c r="AV22" s="72">
        <v>6.3909774436090139E-2</v>
      </c>
      <c r="AW22" s="72">
        <v>1.2367491166077826E-2</v>
      </c>
      <c r="AX22" s="72">
        <v>-5.0610820244328059E-2</v>
      </c>
      <c r="AY22" s="72">
        <v>-0.21507352941176472</v>
      </c>
      <c r="AZ22" s="24"/>
      <c r="BA22" s="72">
        <v>8.1967213114754189E-2</v>
      </c>
    </row>
    <row r="23" spans="1:53">
      <c r="A23" s="71" t="s">
        <v>8</v>
      </c>
      <c r="B23" s="24"/>
      <c r="C23" s="73"/>
      <c r="D23" s="73"/>
      <c r="E23" s="73"/>
      <c r="F23" s="73"/>
      <c r="G23" s="24">
        <f t="shared" ref="G23:N23" si="11">G21/B21-1</f>
        <v>0.13744075829383884</v>
      </c>
      <c r="H23" s="73">
        <f t="shared" si="11"/>
        <v>0.24648985959438385</v>
      </c>
      <c r="I23" s="73">
        <f t="shared" si="11"/>
        <v>5.9585492227979264E-2</v>
      </c>
      <c r="J23" s="73">
        <f t="shared" si="11"/>
        <v>0.12903225806451624</v>
      </c>
      <c r="K23" s="73">
        <f t="shared" si="11"/>
        <v>6.1946902654867353E-2</v>
      </c>
      <c r="L23" s="24">
        <f t="shared" si="11"/>
        <v>0.12575757575757573</v>
      </c>
      <c r="M23" s="73">
        <f t="shared" si="11"/>
        <v>9.3867334167709648E-2</v>
      </c>
      <c r="N23" s="73">
        <f t="shared" si="11"/>
        <v>0.21026894865525669</v>
      </c>
      <c r="O23" s="73">
        <f t="shared" ref="O23:Y23" si="12">O21/J21-1</f>
        <v>0.11885714285714277</v>
      </c>
      <c r="P23" s="73">
        <f t="shared" si="12"/>
        <v>0.87708333333333344</v>
      </c>
      <c r="Q23" s="24">
        <f t="shared" si="12"/>
        <v>0.25975773889636611</v>
      </c>
      <c r="R23" s="73">
        <f t="shared" si="12"/>
        <v>-0.23913043478260865</v>
      </c>
      <c r="S23" s="73">
        <f t="shared" si="12"/>
        <v>-5.555555555555558E-2</v>
      </c>
      <c r="T23" s="73">
        <f t="shared" si="12"/>
        <v>-3.5750766087844776E-2</v>
      </c>
      <c r="U23" s="73">
        <f t="shared" si="12"/>
        <v>-0.21087680355160932</v>
      </c>
      <c r="V23" s="24">
        <f t="shared" si="12"/>
        <v>-0.13060897435897434</v>
      </c>
      <c r="W23" s="73">
        <f t="shared" si="12"/>
        <v>0.27819548872180455</v>
      </c>
      <c r="X23" s="73">
        <f t="shared" si="12"/>
        <v>-0.20213903743315509</v>
      </c>
      <c r="Y23" s="73">
        <f t="shared" si="12"/>
        <v>-0.29343220338983056</v>
      </c>
      <c r="Z23" s="73">
        <f t="shared" ref="Z23:AI23" si="13">Z21/U21-1</f>
        <v>9.4233473980309457E-2</v>
      </c>
      <c r="AA23" s="24">
        <f t="shared" si="13"/>
        <v>-6.5745007680491518E-2</v>
      </c>
      <c r="AB23" s="73">
        <f t="shared" si="13"/>
        <v>-0.1047058823529412</v>
      </c>
      <c r="AC23" s="73">
        <f t="shared" si="13"/>
        <v>-2.6809651474530849E-3</v>
      </c>
      <c r="AD23" s="73">
        <f t="shared" si="13"/>
        <v>8.0959520239880067E-2</v>
      </c>
      <c r="AE23" s="73">
        <f t="shared" si="13"/>
        <v>-0.23778920308483287</v>
      </c>
      <c r="AF23" s="24">
        <f t="shared" si="13"/>
        <v>-7.3002301874383391E-2</v>
      </c>
      <c r="AG23" s="73">
        <f t="shared" si="13"/>
        <v>-9.592641261498025E-2</v>
      </c>
      <c r="AH23" s="73">
        <f t="shared" si="13"/>
        <v>0.65860215053763449</v>
      </c>
      <c r="AI23" s="73">
        <f t="shared" si="13"/>
        <v>-6.9348127600554754E-2</v>
      </c>
      <c r="AJ23" s="73">
        <f t="shared" ref="AJ23:AS23" si="14">AJ21/AE21-1</f>
        <v>6.7453625632377667E-2</v>
      </c>
      <c r="AK23" s="24">
        <v>0.14437743880808807</v>
      </c>
      <c r="AL23" s="73">
        <v>-7.5581395348837233E-2</v>
      </c>
      <c r="AM23" s="73">
        <v>-0.35656401944894656</v>
      </c>
      <c r="AN23" s="73">
        <v>-2.8315946348733245E-2</v>
      </c>
      <c r="AO23" s="73">
        <v>-0.2290679304897314</v>
      </c>
      <c r="AP23" s="24">
        <v>-0.20334779913205203</v>
      </c>
      <c r="AQ23" s="73">
        <v>-9.7484276729559727E-2</v>
      </c>
      <c r="AR23" s="73">
        <v>-0.22418136020151136</v>
      </c>
      <c r="AS23" s="73">
        <v>-8.1288343558282183E-2</v>
      </c>
      <c r="AT23" s="73">
        <v>9.0163934426229497E-2</v>
      </c>
      <c r="AU23" s="24">
        <v>-9.6887159533073919E-2</v>
      </c>
      <c r="AV23" s="73">
        <v>-1.3937282229965153E-2</v>
      </c>
      <c r="AW23" s="73">
        <v>-6.9805194805194759E-2</v>
      </c>
      <c r="AX23" s="73">
        <v>-9.1819699499165242E-2</v>
      </c>
      <c r="AY23" s="73">
        <v>-0.19736842105263153</v>
      </c>
      <c r="AZ23" s="24">
        <v>-9.0909090909090939E-2</v>
      </c>
      <c r="BA23" s="73">
        <v>-0.18374558303886923</v>
      </c>
    </row>
    <row r="24" spans="1:53">
      <c r="A24" s="69" t="s">
        <v>97</v>
      </c>
      <c r="B24" s="65">
        <v>182</v>
      </c>
      <c r="C24" s="80" t="s">
        <v>53</v>
      </c>
      <c r="D24" s="80" t="s">
        <v>53</v>
      </c>
      <c r="E24" s="80" t="s">
        <v>53</v>
      </c>
      <c r="F24" s="80" t="s">
        <v>53</v>
      </c>
      <c r="G24" s="65">
        <v>140</v>
      </c>
      <c r="H24" s="120" t="s">
        <v>45</v>
      </c>
      <c r="I24" s="120" t="s">
        <v>45</v>
      </c>
      <c r="J24" s="120" t="s">
        <v>45</v>
      </c>
      <c r="K24" s="120" t="s">
        <v>45</v>
      </c>
      <c r="L24" s="178">
        <v>-31</v>
      </c>
      <c r="M24" s="70">
        <v>-22</v>
      </c>
      <c r="N24" s="70">
        <v>35</v>
      </c>
      <c r="O24" s="70">
        <v>74</v>
      </c>
      <c r="P24" s="70">
        <f>Q24-O24-N24-M24</f>
        <v>22</v>
      </c>
      <c r="Q24" s="65">
        <v>109</v>
      </c>
      <c r="R24" s="70">
        <v>20</v>
      </c>
      <c r="S24" s="70">
        <v>62</v>
      </c>
      <c r="T24" s="70">
        <v>86</v>
      </c>
      <c r="U24" s="70">
        <f>V24-T24-S24-R24</f>
        <v>44</v>
      </c>
      <c r="V24" s="65">
        <v>212</v>
      </c>
      <c r="W24" s="70">
        <v>-44</v>
      </c>
      <c r="X24" s="70">
        <v>77</v>
      </c>
      <c r="Y24" s="70">
        <v>55</v>
      </c>
      <c r="Z24" s="70">
        <f>AA24-SUM(W24:Y24)</f>
        <v>63</v>
      </c>
      <c r="AA24" s="65">
        <v>151</v>
      </c>
      <c r="AB24" s="70">
        <v>24</v>
      </c>
      <c r="AC24" s="70">
        <v>27</v>
      </c>
      <c r="AD24" s="70">
        <v>45</v>
      </c>
      <c r="AE24" s="70">
        <f>AF24-SUM(AB24:AD24)</f>
        <v>49</v>
      </c>
      <c r="AF24" s="65">
        <v>145</v>
      </c>
      <c r="AG24" s="70">
        <v>42</v>
      </c>
      <c r="AH24" s="70">
        <v>32</v>
      </c>
      <c r="AI24" s="70">
        <v>39</v>
      </c>
      <c r="AJ24" s="70">
        <f>AK24-SUM(AG24:AI24)</f>
        <v>17</v>
      </c>
      <c r="AK24" s="65">
        <v>130</v>
      </c>
      <c r="AL24" s="70">
        <v>37</v>
      </c>
      <c r="AM24" s="70">
        <v>129</v>
      </c>
      <c r="AN24" s="70">
        <v>100</v>
      </c>
      <c r="AO24" s="186">
        <v>-3</v>
      </c>
      <c r="AP24" s="65">
        <v>263</v>
      </c>
      <c r="AQ24" s="70">
        <v>102</v>
      </c>
      <c r="AR24" s="70">
        <v>105</v>
      </c>
      <c r="AS24" s="70">
        <v>104</v>
      </c>
      <c r="AT24" s="186">
        <v>136</v>
      </c>
      <c r="AU24" s="65">
        <v>447</v>
      </c>
      <c r="AV24" s="70">
        <v>101</v>
      </c>
      <c r="AW24" s="70">
        <v>102</v>
      </c>
      <c r="AX24" s="70">
        <v>94</v>
      </c>
      <c r="AY24" s="186">
        <v>120</v>
      </c>
      <c r="AZ24" s="65">
        <v>417</v>
      </c>
      <c r="BA24" s="70">
        <v>108</v>
      </c>
    </row>
    <row r="25" spans="1:53">
      <c r="A25" s="71" t="s">
        <v>7</v>
      </c>
      <c r="B25" s="24"/>
      <c r="C25" s="73"/>
      <c r="D25" s="73"/>
      <c r="E25" s="73"/>
      <c r="F25" s="73"/>
      <c r="G25" s="24"/>
      <c r="H25" s="73"/>
      <c r="I25" s="73"/>
      <c r="J25" s="73"/>
      <c r="K25" s="73"/>
      <c r="L25" s="24"/>
      <c r="M25" s="73"/>
      <c r="N25" s="72"/>
      <c r="O25" s="72">
        <f>O24/N24-1</f>
        <v>1.1142857142857143</v>
      </c>
      <c r="P25" s="72">
        <f>P24/O24-1</f>
        <v>-0.70270270270270263</v>
      </c>
      <c r="Q25" s="24"/>
      <c r="R25" s="85">
        <f>R24/P24-1</f>
        <v>-9.0909090909090939E-2</v>
      </c>
      <c r="S25" s="85">
        <f>S24/R24-1</f>
        <v>2.1</v>
      </c>
      <c r="T25" s="72">
        <f>T24/S24-1</f>
        <v>0.38709677419354849</v>
      </c>
      <c r="U25" s="85">
        <f>U24/T24-1</f>
        <v>-0.48837209302325579</v>
      </c>
      <c r="V25" s="24"/>
      <c r="W25" s="85"/>
      <c r="X25" s="85"/>
      <c r="Y25" s="85">
        <f>Y24/X24-1</f>
        <v>-0.2857142857142857</v>
      </c>
      <c r="Z25" s="85">
        <f>Z24/Y24-1</f>
        <v>0.1454545454545455</v>
      </c>
      <c r="AA25" s="24"/>
      <c r="AB25" s="72">
        <f>AB24/Z24-1</f>
        <v>-0.61904761904761907</v>
      </c>
      <c r="AC25" s="72">
        <f>AC24/AB24-1</f>
        <v>0.125</v>
      </c>
      <c r="AD25" s="72">
        <f>AD24/AC24-1</f>
        <v>0.66666666666666674</v>
      </c>
      <c r="AE25" s="85">
        <f>AE24/AD24-1</f>
        <v>8.8888888888888795E-2</v>
      </c>
      <c r="AF25" s="24"/>
      <c r="AG25" s="72">
        <f>AG24/AE24-1</f>
        <v>-0.1428571428571429</v>
      </c>
      <c r="AH25" s="72">
        <f>AH24/AG24-1</f>
        <v>-0.23809523809523814</v>
      </c>
      <c r="AI25" s="72">
        <f>AI24/AH24-1</f>
        <v>0.21875</v>
      </c>
      <c r="AJ25" s="85">
        <f>AJ24/AI24-1</f>
        <v>-0.5641025641025641</v>
      </c>
      <c r="AK25" s="24"/>
      <c r="AL25" s="72">
        <v>1.1764705882352939</v>
      </c>
      <c r="AM25" s="72">
        <v>2.4864864864864864</v>
      </c>
      <c r="AN25" s="72">
        <v>-0.22480620155038755</v>
      </c>
      <c r="AO25" s="85" t="s">
        <v>44</v>
      </c>
      <c r="AP25" s="24"/>
      <c r="AQ25" s="85" t="s">
        <v>44</v>
      </c>
      <c r="AR25" s="72">
        <v>2.9411764705882248E-2</v>
      </c>
      <c r="AS25" s="72">
        <v>-9.52380952380949E-3</v>
      </c>
      <c r="AT25" s="72">
        <v>0.30769230769230771</v>
      </c>
      <c r="AU25" s="24"/>
      <c r="AV25" s="72">
        <v>-0.25735294117647056</v>
      </c>
      <c r="AW25" s="72">
        <v>9.9009900990099098E-3</v>
      </c>
      <c r="AX25" s="72">
        <v>-7.8431372549019662E-2</v>
      </c>
      <c r="AY25" s="72">
        <v>0.27659574468085113</v>
      </c>
      <c r="AZ25" s="24"/>
      <c r="BA25" s="72">
        <v>-9.9999999999999978E-2</v>
      </c>
    </row>
    <row r="26" spans="1:53">
      <c r="A26" s="71" t="s">
        <v>8</v>
      </c>
      <c r="B26" s="24"/>
      <c r="C26" s="73"/>
      <c r="D26" s="73"/>
      <c r="E26" s="73"/>
      <c r="F26" s="73"/>
      <c r="G26" s="24">
        <f>G24/B24-1</f>
        <v>-0.23076923076923073</v>
      </c>
      <c r="H26" s="73"/>
      <c r="I26" s="73"/>
      <c r="J26" s="73"/>
      <c r="K26" s="73"/>
      <c r="L26" s="24"/>
      <c r="M26" s="73"/>
      <c r="N26" s="73"/>
      <c r="O26" s="73"/>
      <c r="P26" s="73"/>
      <c r="Q26" s="92"/>
      <c r="R26" s="85"/>
      <c r="S26" s="73">
        <f>S24/N24-1</f>
        <v>0.77142857142857135</v>
      </c>
      <c r="T26" s="73">
        <f>T24/O24-1</f>
        <v>0.16216216216216206</v>
      </c>
      <c r="U26" s="85">
        <f>U24/P24-1</f>
        <v>1</v>
      </c>
      <c r="V26" s="92">
        <f>V24/Q24-1</f>
        <v>0.94495412844036708</v>
      </c>
      <c r="W26" s="85"/>
      <c r="X26" s="85">
        <f t="shared" ref="X26:AD26" si="15">X24/S24-1</f>
        <v>0.24193548387096775</v>
      </c>
      <c r="Y26" s="73">
        <f t="shared" si="15"/>
        <v>-0.36046511627906974</v>
      </c>
      <c r="Z26" s="85">
        <f t="shared" si="15"/>
        <v>0.43181818181818188</v>
      </c>
      <c r="AA26" s="92">
        <f t="shared" si="15"/>
        <v>-0.28773584905660377</v>
      </c>
      <c r="AB26" s="73">
        <f t="shared" si="15"/>
        <v>-1.5454545454545454</v>
      </c>
      <c r="AC26" s="73">
        <f t="shared" si="15"/>
        <v>-0.64935064935064934</v>
      </c>
      <c r="AD26" s="73">
        <f t="shared" si="15"/>
        <v>-0.18181818181818177</v>
      </c>
      <c r="AE26" s="85">
        <f t="shared" ref="AE26:AN26" si="16">AE24/Z24-1</f>
        <v>-0.22222222222222221</v>
      </c>
      <c r="AF26" s="92">
        <f t="shared" si="16"/>
        <v>-3.9735099337748325E-2</v>
      </c>
      <c r="AG26" s="73">
        <f t="shared" si="16"/>
        <v>0.75</v>
      </c>
      <c r="AH26" s="73">
        <f t="shared" si="16"/>
        <v>0.18518518518518512</v>
      </c>
      <c r="AI26" s="73">
        <f t="shared" si="16"/>
        <v>-0.1333333333333333</v>
      </c>
      <c r="AJ26" s="85">
        <f t="shared" si="16"/>
        <v>-0.65306122448979598</v>
      </c>
      <c r="AK26" s="92">
        <v>-0.10344827586206895</v>
      </c>
      <c r="AL26" s="73">
        <v>-0.11904761904761907</v>
      </c>
      <c r="AM26" s="73">
        <v>3.03125</v>
      </c>
      <c r="AN26" s="73">
        <v>1.5641025641025643</v>
      </c>
      <c r="AO26" s="85" t="s">
        <v>44</v>
      </c>
      <c r="AP26" s="92">
        <v>1.023076923076923</v>
      </c>
      <c r="AQ26" s="73">
        <v>1.7567567567567566</v>
      </c>
      <c r="AR26" s="73">
        <v>-0.18604651162790697</v>
      </c>
      <c r="AS26" s="73">
        <v>4.0000000000000036E-2</v>
      </c>
      <c r="AT26" s="85" t="s">
        <v>44</v>
      </c>
      <c r="AU26" s="92">
        <v>0.69961977186311786</v>
      </c>
      <c r="AV26" s="73">
        <v>-9.8039215686274161E-3</v>
      </c>
      <c r="AW26" s="73">
        <v>-2.8571428571428581E-2</v>
      </c>
      <c r="AX26" s="73">
        <v>-9.6153846153846145E-2</v>
      </c>
      <c r="AY26" s="73">
        <v>-0.11764705882352944</v>
      </c>
      <c r="AZ26" s="92">
        <v>-6.7114093959731558E-2</v>
      </c>
      <c r="BA26" s="73">
        <v>6.9306930693069368E-2</v>
      </c>
    </row>
    <row r="27" spans="1:53" ht="25.5" hidden="1">
      <c r="A27" s="89" t="s">
        <v>158</v>
      </c>
      <c r="B27" s="124" t="s">
        <v>45</v>
      </c>
      <c r="C27" s="80" t="s">
        <v>53</v>
      </c>
      <c r="D27" s="80" t="s">
        <v>53</v>
      </c>
      <c r="E27" s="80" t="s">
        <v>53</v>
      </c>
      <c r="F27" s="80" t="s">
        <v>53</v>
      </c>
      <c r="G27" s="124" t="s">
        <v>45</v>
      </c>
      <c r="H27" s="120" t="s">
        <v>45</v>
      </c>
      <c r="I27" s="120" t="s">
        <v>45</v>
      </c>
      <c r="J27" s="120" t="s">
        <v>45</v>
      </c>
      <c r="K27" s="120" t="s">
        <v>45</v>
      </c>
      <c r="L27" s="124" t="s">
        <v>45</v>
      </c>
      <c r="M27" s="186">
        <v>-23</v>
      </c>
      <c r="N27" s="186">
        <v>-86</v>
      </c>
      <c r="O27" s="186">
        <v>-71</v>
      </c>
      <c r="P27" s="186">
        <f>Q27-O27-N27-M27</f>
        <v>-81</v>
      </c>
      <c r="Q27" s="178">
        <v>-261</v>
      </c>
      <c r="R27" s="186">
        <v>-65</v>
      </c>
      <c r="S27" s="186">
        <v>-72</v>
      </c>
      <c r="T27" s="186">
        <v>-66</v>
      </c>
      <c r="U27" s="186">
        <f>V27-T27-S27-R27</f>
        <v>-13</v>
      </c>
      <c r="V27" s="178">
        <v>-216</v>
      </c>
      <c r="W27" s="186">
        <v>-58</v>
      </c>
      <c r="X27" s="186">
        <v>-83</v>
      </c>
      <c r="Y27" s="186">
        <v>-92</v>
      </c>
      <c r="Z27" s="186">
        <f>AA27-Y27-X27-W27</f>
        <v>-12</v>
      </c>
      <c r="AA27" s="178">
        <v>-245</v>
      </c>
      <c r="AB27" s="186">
        <v>-40</v>
      </c>
      <c r="AC27" s="186">
        <v>-67</v>
      </c>
      <c r="AD27" s="186">
        <v>-88</v>
      </c>
      <c r="AE27" s="186">
        <f>AF27-AD27-AC27-AB27</f>
        <v>-57</v>
      </c>
      <c r="AF27" s="178">
        <v>-252</v>
      </c>
      <c r="AG27" s="186">
        <v>-19</v>
      </c>
      <c r="AH27" s="186">
        <v>-79</v>
      </c>
      <c r="AI27" s="186">
        <v>-34</v>
      </c>
      <c r="AJ27" s="186">
        <f>AK27-AI27-AH27-AG27</f>
        <v>-38</v>
      </c>
      <c r="AK27" s="178">
        <v>-170</v>
      </c>
      <c r="AL27" s="70">
        <v>16</v>
      </c>
      <c r="AM27" s="70">
        <v>0</v>
      </c>
      <c r="AN27" s="186">
        <v>-1</v>
      </c>
      <c r="AO27" s="186">
        <v>-3</v>
      </c>
      <c r="AP27" s="65">
        <v>12</v>
      </c>
      <c r="AQ27" s="186">
        <v>-1</v>
      </c>
      <c r="AR27" s="186">
        <v>-1</v>
      </c>
      <c r="AS27" s="186">
        <v>-2</v>
      </c>
      <c r="AT27" s="186">
        <v>16</v>
      </c>
      <c r="AU27" s="65">
        <v>12</v>
      </c>
      <c r="AV27" s="186">
        <v>-1</v>
      </c>
      <c r="AW27" s="186">
        <v>-1</v>
      </c>
      <c r="AX27" s="186">
        <v>-1</v>
      </c>
      <c r="AY27" s="186">
        <v>15</v>
      </c>
      <c r="AZ27" s="65">
        <v>12</v>
      </c>
      <c r="BA27" s="186">
        <v>-1</v>
      </c>
    </row>
    <row r="28" spans="1:53" hidden="1">
      <c r="A28" s="71" t="s">
        <v>7</v>
      </c>
      <c r="B28" s="24"/>
      <c r="C28" s="73"/>
      <c r="D28" s="73"/>
      <c r="E28" s="73"/>
      <c r="F28" s="73"/>
      <c r="G28" s="24"/>
      <c r="H28" s="73"/>
      <c r="I28" s="73"/>
      <c r="J28" s="73"/>
      <c r="K28" s="73"/>
      <c r="L28" s="24"/>
      <c r="M28" s="73"/>
      <c r="N28" s="72">
        <f>N27/M27-1</f>
        <v>2.7391304347826089</v>
      </c>
      <c r="O28" s="72">
        <f>O27/N27-1</f>
        <v>-0.17441860465116277</v>
      </c>
      <c r="P28" s="72">
        <f>P27/O27-1</f>
        <v>0.14084507042253525</v>
      </c>
      <c r="Q28" s="24"/>
      <c r="R28" s="85">
        <f>R27/P27-1</f>
        <v>-0.19753086419753085</v>
      </c>
      <c r="S28" s="85">
        <f>S27/R27-1</f>
        <v>0.10769230769230775</v>
      </c>
      <c r="T28" s="72">
        <f>T27/S27-1</f>
        <v>-8.333333333333337E-2</v>
      </c>
      <c r="U28" s="85">
        <f>U27/T27-1</f>
        <v>-0.80303030303030298</v>
      </c>
      <c r="V28" s="178"/>
      <c r="W28" s="72">
        <f>W27/U27-1</f>
        <v>3.4615384615384617</v>
      </c>
      <c r="X28" s="72">
        <f>X27/W27-1</f>
        <v>0.43103448275862077</v>
      </c>
      <c r="Y28" s="72">
        <f>Y27/X27-1</f>
        <v>0.10843373493975905</v>
      </c>
      <c r="Z28" s="72">
        <f>Z27/Y27-1</f>
        <v>-0.86956521739130432</v>
      </c>
      <c r="AA28" s="24"/>
      <c r="AB28" s="72">
        <f>AB27/Z27-1</f>
        <v>2.3333333333333335</v>
      </c>
      <c r="AC28" s="72">
        <f>AC27/AB27-1</f>
        <v>0.67500000000000004</v>
      </c>
      <c r="AD28" s="72">
        <f>AD27/AC27-1</f>
        <v>0.31343283582089554</v>
      </c>
      <c r="AE28" s="72">
        <f>AE27/AD27-1</f>
        <v>-0.35227272727272729</v>
      </c>
      <c r="AF28" s="24"/>
      <c r="AG28" s="72">
        <f>AG27/AE27-1</f>
        <v>-0.66666666666666674</v>
      </c>
      <c r="AH28" s="72">
        <f>AH27/AG27-1</f>
        <v>3.1578947368421053</v>
      </c>
      <c r="AI28" s="72">
        <f>AI27/AH27-1</f>
        <v>-0.56962025316455689</v>
      </c>
      <c r="AJ28" s="72">
        <f>AJ27/AI27-1</f>
        <v>0.11764705882352944</v>
      </c>
      <c r="AK28" s="24"/>
      <c r="AL28" s="85" t="s">
        <v>44</v>
      </c>
      <c r="AM28" s="72">
        <v>-1</v>
      </c>
      <c r="AN28" s="85" t="s">
        <v>44</v>
      </c>
      <c r="AO28" s="72">
        <v>2</v>
      </c>
      <c r="AP28" s="24"/>
      <c r="AQ28" s="72">
        <v>-0.66666666666666674</v>
      </c>
      <c r="AR28" s="72">
        <v>0</v>
      </c>
      <c r="AS28" s="72">
        <v>1</v>
      </c>
      <c r="AT28" s="72">
        <v>-9</v>
      </c>
      <c r="AU28" s="24"/>
      <c r="AV28" s="72">
        <v>-1.0625</v>
      </c>
      <c r="AW28" s="72">
        <v>-1.0833333333333333</v>
      </c>
      <c r="AX28" s="72">
        <v>0</v>
      </c>
      <c r="AY28" s="72">
        <v>-16</v>
      </c>
      <c r="AZ28" s="24"/>
      <c r="BA28" s="72">
        <v>-1.0666666666666667</v>
      </c>
    </row>
    <row r="29" spans="1:53" hidden="1">
      <c r="A29" s="71" t="s">
        <v>8</v>
      </c>
      <c r="B29" s="24"/>
      <c r="C29" s="73"/>
      <c r="D29" s="73"/>
      <c r="E29" s="73"/>
      <c r="F29" s="73"/>
      <c r="G29" s="24"/>
      <c r="H29" s="73"/>
      <c r="I29" s="73"/>
      <c r="J29" s="73"/>
      <c r="K29" s="73"/>
      <c r="L29" s="24"/>
      <c r="M29" s="73"/>
      <c r="N29" s="73"/>
      <c r="O29" s="73"/>
      <c r="P29" s="73"/>
      <c r="Q29" s="92"/>
      <c r="R29" s="85"/>
      <c r="S29" s="73">
        <f t="shared" ref="S29:AD29" si="17">S27/N27-1</f>
        <v>-0.16279069767441856</v>
      </c>
      <c r="T29" s="73">
        <f t="shared" si="17"/>
        <v>-7.0422535211267623E-2</v>
      </c>
      <c r="U29" s="85">
        <f t="shared" si="17"/>
        <v>-0.83950617283950613</v>
      </c>
      <c r="V29" s="92">
        <f t="shared" si="17"/>
        <v>-0.17241379310344829</v>
      </c>
      <c r="W29" s="73">
        <f t="shared" si="17"/>
        <v>-0.10769230769230764</v>
      </c>
      <c r="X29" s="73">
        <f t="shared" si="17"/>
        <v>0.15277777777777768</v>
      </c>
      <c r="Y29" s="73">
        <f t="shared" si="17"/>
        <v>0.39393939393939403</v>
      </c>
      <c r="Z29" s="73">
        <f t="shared" si="17"/>
        <v>-7.6923076923076872E-2</v>
      </c>
      <c r="AA29" s="92">
        <f t="shared" si="17"/>
        <v>0.1342592592592593</v>
      </c>
      <c r="AB29" s="73">
        <f t="shared" si="17"/>
        <v>-0.31034482758620685</v>
      </c>
      <c r="AC29" s="73">
        <f t="shared" si="17"/>
        <v>-0.19277108433734935</v>
      </c>
      <c r="AD29" s="73">
        <f t="shared" si="17"/>
        <v>-4.3478260869565188E-2</v>
      </c>
      <c r="AE29" s="73">
        <f t="shared" ref="AE29:AM29" si="18">AE27/Z27-1</f>
        <v>3.75</v>
      </c>
      <c r="AF29" s="92">
        <f t="shared" si="18"/>
        <v>2.857142857142847E-2</v>
      </c>
      <c r="AG29" s="73">
        <f t="shared" si="18"/>
        <v>-0.52500000000000002</v>
      </c>
      <c r="AH29" s="73">
        <f t="shared" si="18"/>
        <v>0.17910447761194037</v>
      </c>
      <c r="AI29" s="73">
        <f t="shared" si="18"/>
        <v>-0.61363636363636365</v>
      </c>
      <c r="AJ29" s="73">
        <f t="shared" si="18"/>
        <v>-0.33333333333333337</v>
      </c>
      <c r="AK29" s="92">
        <v>-0.32539682539682535</v>
      </c>
      <c r="AL29" s="85" t="s">
        <v>44</v>
      </c>
      <c r="AM29" s="73">
        <v>-1</v>
      </c>
      <c r="AN29" s="85" t="s">
        <v>44</v>
      </c>
      <c r="AO29" s="73">
        <v>-0.92105263157894735</v>
      </c>
      <c r="AP29" s="92">
        <v>-1.0705882352941176</v>
      </c>
      <c r="AQ29" s="85" t="s">
        <v>44</v>
      </c>
      <c r="AR29" s="85" t="s">
        <v>44</v>
      </c>
      <c r="AS29" s="73">
        <v>1</v>
      </c>
      <c r="AT29" s="73">
        <v>-6.333333333333333</v>
      </c>
      <c r="AU29" s="92">
        <v>0</v>
      </c>
      <c r="AV29" s="85" t="s">
        <v>44</v>
      </c>
      <c r="AW29" s="85" t="s">
        <v>44</v>
      </c>
      <c r="AX29" s="85" t="s">
        <v>44</v>
      </c>
      <c r="AY29" s="73">
        <v>-6.25E-2</v>
      </c>
      <c r="AZ29" s="92">
        <v>0</v>
      </c>
      <c r="BA29" s="85" t="s">
        <v>44</v>
      </c>
    </row>
    <row r="30" spans="1:53">
      <c r="A30" s="69" t="s">
        <v>208</v>
      </c>
      <c r="B30" s="65">
        <v>666</v>
      </c>
      <c r="C30" s="70">
        <v>180</v>
      </c>
      <c r="D30" s="70">
        <v>205</v>
      </c>
      <c r="E30" s="70">
        <v>207</v>
      </c>
      <c r="F30" s="70">
        <f>G30-E30-D30-C30</f>
        <v>128</v>
      </c>
      <c r="G30" s="65">
        <v>720</v>
      </c>
      <c r="H30" s="70">
        <v>221</v>
      </c>
      <c r="I30" s="70">
        <v>222</v>
      </c>
      <c r="J30" s="70">
        <v>259</v>
      </c>
      <c r="K30" s="70">
        <f>L30-J30-I30-H30</f>
        <v>105</v>
      </c>
      <c r="L30" s="65">
        <v>807</v>
      </c>
      <c r="M30" s="70">
        <v>231</v>
      </c>
      <c r="N30" s="70">
        <v>231</v>
      </c>
      <c r="O30" s="70">
        <v>246</v>
      </c>
      <c r="P30" s="70">
        <f>Q30-O30-N30-M30</f>
        <v>224</v>
      </c>
      <c r="Q30" s="65">
        <v>932</v>
      </c>
      <c r="R30" s="70">
        <v>174</v>
      </c>
      <c r="S30" s="70">
        <v>216</v>
      </c>
      <c r="T30" s="70">
        <v>243</v>
      </c>
      <c r="U30" s="70">
        <f>V30-T30-S30-R30</f>
        <v>122</v>
      </c>
      <c r="V30" s="65">
        <v>755</v>
      </c>
      <c r="W30" s="70">
        <v>245</v>
      </c>
      <c r="X30" s="70">
        <v>174</v>
      </c>
      <c r="Y30" s="70">
        <v>178</v>
      </c>
      <c r="Z30" s="70">
        <f>AA30-Y30-X30-W30</f>
        <v>181</v>
      </c>
      <c r="AA30" s="65">
        <v>778</v>
      </c>
      <c r="AB30" s="70">
        <v>200</v>
      </c>
      <c r="AC30" s="70">
        <v>177</v>
      </c>
      <c r="AD30" s="70">
        <v>139</v>
      </c>
      <c r="AE30" s="70">
        <f>AF30-AD30-AC30-AB30</f>
        <v>135</v>
      </c>
      <c r="AF30" s="65">
        <v>651</v>
      </c>
      <c r="AG30" s="70">
        <v>170</v>
      </c>
      <c r="AH30" s="70">
        <v>313</v>
      </c>
      <c r="AI30" s="70">
        <v>170</v>
      </c>
      <c r="AJ30" s="70">
        <f>AK30-AI30-AH30-AG30</f>
        <v>162</v>
      </c>
      <c r="AK30" s="65">
        <v>815</v>
      </c>
      <c r="AL30" s="70">
        <v>152</v>
      </c>
      <c r="AM30" s="70">
        <v>183</v>
      </c>
      <c r="AN30" s="70">
        <v>144</v>
      </c>
      <c r="AO30" s="70">
        <v>119</v>
      </c>
      <c r="AP30" s="65">
        <v>598</v>
      </c>
      <c r="AQ30" s="70">
        <v>183</v>
      </c>
      <c r="AR30" s="70">
        <v>133</v>
      </c>
      <c r="AS30" s="70">
        <v>99</v>
      </c>
      <c r="AT30" s="70">
        <v>210</v>
      </c>
      <c r="AU30" s="65">
        <v>625</v>
      </c>
      <c r="AV30" s="70">
        <v>113</v>
      </c>
      <c r="AW30" s="70">
        <v>111</v>
      </c>
      <c r="AX30" s="70">
        <v>128</v>
      </c>
      <c r="AY30" s="70">
        <v>101</v>
      </c>
      <c r="AZ30" s="65">
        <v>453</v>
      </c>
      <c r="BA30" s="70">
        <v>93</v>
      </c>
    </row>
    <row r="31" spans="1:53">
      <c r="A31" s="71" t="s">
        <v>7</v>
      </c>
      <c r="B31" s="24"/>
      <c r="C31" s="72"/>
      <c r="D31" s="72">
        <f>D30/C30-1</f>
        <v>0.13888888888888884</v>
      </c>
      <c r="E31" s="72">
        <f>E30/D30-1</f>
        <v>9.7560975609756184E-3</v>
      </c>
      <c r="F31" s="72">
        <f>F30/E30-1</f>
        <v>-0.38164251207729472</v>
      </c>
      <c r="G31" s="24"/>
      <c r="H31" s="72">
        <f>H30/F30-1</f>
        <v>0.7265625</v>
      </c>
      <c r="I31" s="72">
        <f>I30/H30-1</f>
        <v>4.5248868778280382E-3</v>
      </c>
      <c r="J31" s="72">
        <f>J30/I30-1</f>
        <v>0.16666666666666674</v>
      </c>
      <c r="K31" s="72">
        <f>K30/J30-1</f>
        <v>-0.59459459459459452</v>
      </c>
      <c r="L31" s="24"/>
      <c r="M31" s="72">
        <f>M30/K30-1</f>
        <v>1.2000000000000002</v>
      </c>
      <c r="N31" s="72">
        <f>N30/M30-1</f>
        <v>0</v>
      </c>
      <c r="O31" s="72">
        <f>O30/N30-1</f>
        <v>6.4935064935064846E-2</v>
      </c>
      <c r="P31" s="72">
        <f>P30/O30-1</f>
        <v>-8.9430894308943132E-2</v>
      </c>
      <c r="Q31" s="24"/>
      <c r="R31" s="72">
        <f>R30/P30-1</f>
        <v>-0.2232142857142857</v>
      </c>
      <c r="S31" s="72">
        <f>S30/R30-1</f>
        <v>0.24137931034482762</v>
      </c>
      <c r="T31" s="72">
        <f>T30/S30-1</f>
        <v>0.125</v>
      </c>
      <c r="U31" s="72">
        <f>U30/T30-1</f>
        <v>-0.49794238683127567</v>
      </c>
      <c r="V31" s="24"/>
      <c r="W31" s="72">
        <f>W30/U30-1</f>
        <v>1.0081967213114753</v>
      </c>
      <c r="X31" s="72">
        <f>X30/W30-1</f>
        <v>-0.28979591836734697</v>
      </c>
      <c r="Y31" s="72">
        <f>Y30/X30-1</f>
        <v>2.2988505747126409E-2</v>
      </c>
      <c r="Z31" s="72">
        <f>Z30/Y30-1</f>
        <v>1.6853932584269593E-2</v>
      </c>
      <c r="AA31" s="24"/>
      <c r="AB31" s="72">
        <f>AB30/Z30-1</f>
        <v>0.1049723756906078</v>
      </c>
      <c r="AC31" s="72">
        <f>AC30/AB30-1</f>
        <v>-0.11499999999999999</v>
      </c>
      <c r="AD31" s="72">
        <f>AD30/AC30-1</f>
        <v>-0.21468926553672318</v>
      </c>
      <c r="AE31" s="72">
        <f>AE30/AD30-1</f>
        <v>-2.877697841726623E-2</v>
      </c>
      <c r="AF31" s="24"/>
      <c r="AG31" s="72">
        <f>AG30/AE30-1</f>
        <v>0.2592592592592593</v>
      </c>
      <c r="AH31" s="72">
        <f>AH30/AG30-1</f>
        <v>0.84117647058823519</v>
      </c>
      <c r="AI31" s="72">
        <f>AI30/AH30-1</f>
        <v>-0.45686900958466459</v>
      </c>
      <c r="AJ31" s="72">
        <f>AJ30/AI30-1</f>
        <v>-4.705882352941182E-2</v>
      </c>
      <c r="AK31" s="24"/>
      <c r="AL31" s="72">
        <v>-6.1728395061728447E-2</v>
      </c>
      <c r="AM31" s="72">
        <v>0.20394736842105265</v>
      </c>
      <c r="AN31" s="72">
        <v>-0.21311475409836067</v>
      </c>
      <c r="AO31" s="72">
        <v>-0.17361111111111116</v>
      </c>
      <c r="AP31" s="24"/>
      <c r="AQ31" s="72">
        <v>0.53781512605042026</v>
      </c>
      <c r="AR31" s="72">
        <v>-0.27322404371584696</v>
      </c>
      <c r="AS31" s="72">
        <v>-0.25563909774436089</v>
      </c>
      <c r="AT31" s="72">
        <v>1.1212121212121211</v>
      </c>
      <c r="AU31" s="24"/>
      <c r="AV31" s="72">
        <v>-0.46190476190476193</v>
      </c>
      <c r="AW31" s="72">
        <v>-1.7699115044247815E-2</v>
      </c>
      <c r="AX31" s="72">
        <v>0.15315315315315314</v>
      </c>
      <c r="AY31" s="72">
        <v>-0.2109375</v>
      </c>
      <c r="AZ31" s="24"/>
      <c r="BA31" s="72">
        <v>-7.9207920792079167E-2</v>
      </c>
    </row>
    <row r="32" spans="1:53">
      <c r="A32" s="71" t="s">
        <v>8</v>
      </c>
      <c r="B32" s="24"/>
      <c r="C32" s="73"/>
      <c r="D32" s="73"/>
      <c r="E32" s="73"/>
      <c r="F32" s="73"/>
      <c r="G32" s="24">
        <f t="shared" ref="G32" si="19">G30/B30-1</f>
        <v>8.1081081081081141E-2</v>
      </c>
      <c r="H32" s="73">
        <f t="shared" ref="H32" si="20">H30/C30-1</f>
        <v>0.22777777777777786</v>
      </c>
      <c r="I32" s="73">
        <f t="shared" ref="I32" si="21">I30/D30-1</f>
        <v>8.2926829268292757E-2</v>
      </c>
      <c r="J32" s="73">
        <f t="shared" ref="J32" si="22">J30/E30-1</f>
        <v>0.25120772946859904</v>
      </c>
      <c r="K32" s="73">
        <f t="shared" ref="K32" si="23">K30/F30-1</f>
        <v>-0.1796875</v>
      </c>
      <c r="L32" s="24">
        <f t="shared" ref="L32" si="24">L30/G30-1</f>
        <v>0.12083333333333335</v>
      </c>
      <c r="M32" s="73">
        <f t="shared" ref="M32" si="25">M30/H30-1</f>
        <v>4.5248868778280604E-2</v>
      </c>
      <c r="N32" s="73">
        <f t="shared" ref="N32" si="26">N30/I30-1</f>
        <v>4.0540540540540571E-2</v>
      </c>
      <c r="O32" s="73">
        <f t="shared" ref="O32" si="27">O30/J30-1</f>
        <v>-5.0193050193050204E-2</v>
      </c>
      <c r="P32" s="73">
        <f t="shared" ref="P32" si="28">P30/K30-1</f>
        <v>1.1333333333333333</v>
      </c>
      <c r="Q32" s="24">
        <f t="shared" ref="Q32" si="29">Q30/L30-1</f>
        <v>0.15489467162329618</v>
      </c>
      <c r="R32" s="73">
        <f t="shared" ref="R32" si="30">R30/M30-1</f>
        <v>-0.24675324675324672</v>
      </c>
      <c r="S32" s="73">
        <f t="shared" ref="S32" si="31">S30/N30-1</f>
        <v>-6.4935064935064957E-2</v>
      </c>
      <c r="T32" s="73">
        <f t="shared" ref="T32" si="32">T30/O30-1</f>
        <v>-1.2195121951219523E-2</v>
      </c>
      <c r="U32" s="73">
        <f t="shared" ref="U32" si="33">U30/P30-1</f>
        <v>-0.4553571428571429</v>
      </c>
      <c r="V32" s="24">
        <f t="shared" ref="V32" si="34">V30/Q30-1</f>
        <v>-0.18991416309012876</v>
      </c>
      <c r="W32" s="73">
        <f t="shared" ref="W32" si="35">W30/R30-1</f>
        <v>0.40804597701149414</v>
      </c>
      <c r="X32" s="73">
        <f t="shared" ref="X32" si="36">X30/S30-1</f>
        <v>-0.19444444444444442</v>
      </c>
      <c r="Y32" s="73">
        <f t="shared" ref="Y32" si="37">Y30/T30-1</f>
        <v>-0.26748971193415638</v>
      </c>
      <c r="Z32" s="73">
        <f t="shared" ref="Z32" si="38">Z30/U30-1</f>
        <v>0.48360655737704916</v>
      </c>
      <c r="AA32" s="24">
        <f t="shared" ref="AA32" si="39">AA30/V30-1</f>
        <v>3.0463576158940464E-2</v>
      </c>
      <c r="AB32" s="73">
        <f t="shared" ref="AB32" si="40">AB30/W30-1</f>
        <v>-0.18367346938775508</v>
      </c>
      <c r="AC32" s="73">
        <f t="shared" ref="AC32" si="41">AC30/X30-1</f>
        <v>1.7241379310344751E-2</v>
      </c>
      <c r="AD32" s="73">
        <f t="shared" ref="AD32" si="42">AD30/Y30-1</f>
        <v>-0.2191011235955056</v>
      </c>
      <c r="AE32" s="73">
        <f t="shared" ref="AE32" si="43">AE30/Z30-1</f>
        <v>-0.2541436464088398</v>
      </c>
      <c r="AF32" s="24">
        <f t="shared" ref="AF32" si="44">AF30/AA30-1</f>
        <v>-0.16323907455012854</v>
      </c>
      <c r="AG32" s="73">
        <f t="shared" ref="AG32" si="45">AG30/AB30-1</f>
        <v>-0.15000000000000002</v>
      </c>
      <c r="AH32" s="73">
        <f t="shared" ref="AH32" si="46">AH30/AC30-1</f>
        <v>0.76836158192090398</v>
      </c>
      <c r="AI32" s="73">
        <f t="shared" ref="AI32" si="47">AI30/AD30-1</f>
        <v>0.2230215827338129</v>
      </c>
      <c r="AJ32" s="73">
        <f t="shared" ref="AJ32" si="48">AJ30/AE30-1</f>
        <v>0.19999999999999996</v>
      </c>
      <c r="AK32" s="24">
        <v>0.25192012288786492</v>
      </c>
      <c r="AL32" s="73">
        <v>-0.10588235294117643</v>
      </c>
      <c r="AM32" s="73">
        <v>-0.4153354632587859</v>
      </c>
      <c r="AN32" s="73">
        <v>-0.15294117647058825</v>
      </c>
      <c r="AO32" s="73">
        <v>-0.26543209876543206</v>
      </c>
      <c r="AP32" s="24">
        <v>-0.26625766871165646</v>
      </c>
      <c r="AQ32" s="73">
        <v>0.20394736842105265</v>
      </c>
      <c r="AR32" s="73">
        <v>-0.27322404371584696</v>
      </c>
      <c r="AS32" s="73">
        <v>-0.3125</v>
      </c>
      <c r="AT32" s="73">
        <v>0.76470588235294112</v>
      </c>
      <c r="AU32" s="24">
        <v>4.5150501672240884E-2</v>
      </c>
      <c r="AV32" s="73">
        <v>-0.38251366120218577</v>
      </c>
      <c r="AW32" s="73">
        <v>-0.16541353383458646</v>
      </c>
      <c r="AX32" s="73">
        <v>0.29292929292929304</v>
      </c>
      <c r="AY32" s="73">
        <v>-0.51904761904761898</v>
      </c>
      <c r="AZ32" s="24">
        <v>-0.2752</v>
      </c>
      <c r="BA32" s="73">
        <v>-0.17699115044247793</v>
      </c>
    </row>
    <row r="33" spans="1:53" s="36" customFormat="1">
      <c r="A33" s="69" t="s">
        <v>68</v>
      </c>
      <c r="B33" s="65">
        <v>1330</v>
      </c>
      <c r="C33" s="70">
        <v>411</v>
      </c>
      <c r="D33" s="70">
        <v>456</v>
      </c>
      <c r="E33" s="70">
        <v>462</v>
      </c>
      <c r="F33" s="70">
        <v>298</v>
      </c>
      <c r="G33" s="65">
        <v>1627</v>
      </c>
      <c r="H33" s="70">
        <v>608</v>
      </c>
      <c r="I33" s="70">
        <v>541</v>
      </c>
      <c r="J33" s="70">
        <v>2088</v>
      </c>
      <c r="K33" s="70">
        <f>L33-J33-I33-H33</f>
        <v>366</v>
      </c>
      <c r="L33" s="65">
        <v>3603</v>
      </c>
      <c r="M33" s="70">
        <v>642</v>
      </c>
      <c r="N33" s="70">
        <v>638</v>
      </c>
      <c r="O33" s="70">
        <v>588</v>
      </c>
      <c r="P33" s="70">
        <f>Q33-O33-N33-M33</f>
        <v>575</v>
      </c>
      <c r="Q33" s="65">
        <v>2443</v>
      </c>
      <c r="R33" s="70">
        <v>407</v>
      </c>
      <c r="S33" s="70">
        <v>585</v>
      </c>
      <c r="T33" s="70">
        <v>550</v>
      </c>
      <c r="U33" s="70">
        <f>V33-T33-S33-R33</f>
        <v>532</v>
      </c>
      <c r="V33" s="65">
        <v>2074</v>
      </c>
      <c r="W33" s="70">
        <v>582</v>
      </c>
      <c r="X33" s="70">
        <v>415</v>
      </c>
      <c r="Y33" s="70">
        <v>342</v>
      </c>
      <c r="Z33" s="70">
        <f>AA33-Y33-X33-W33</f>
        <v>522</v>
      </c>
      <c r="AA33" s="65">
        <v>1861</v>
      </c>
      <c r="AB33" s="70">
        <v>497</v>
      </c>
      <c r="AC33" s="70">
        <v>473</v>
      </c>
      <c r="AD33" s="70">
        <v>449</v>
      </c>
      <c r="AE33" s="70">
        <f>AF33-AD33-AC33-AB33</f>
        <v>352</v>
      </c>
      <c r="AF33" s="65">
        <v>1771</v>
      </c>
      <c r="AG33" s="70">
        <v>457</v>
      </c>
      <c r="AH33" s="70">
        <v>810</v>
      </c>
      <c r="AI33" s="70">
        <v>428</v>
      </c>
      <c r="AJ33" s="70">
        <f>AK33-AI33-AH33-AG33</f>
        <v>416</v>
      </c>
      <c r="AK33" s="65">
        <v>2111</v>
      </c>
      <c r="AL33" s="70">
        <v>463</v>
      </c>
      <c r="AM33" s="70">
        <v>482</v>
      </c>
      <c r="AN33" s="70">
        <v>407</v>
      </c>
      <c r="AO33" s="70">
        <v>369</v>
      </c>
      <c r="AP33" s="65">
        <v>1721</v>
      </c>
      <c r="AQ33" s="70">
        <v>288</v>
      </c>
      <c r="AR33" s="70">
        <v>377</v>
      </c>
      <c r="AS33" s="70">
        <v>394</v>
      </c>
      <c r="AT33" s="70">
        <v>185</v>
      </c>
      <c r="AU33" s="65">
        <v>1244</v>
      </c>
      <c r="AV33" s="70">
        <v>350</v>
      </c>
      <c r="AW33" s="70">
        <v>358</v>
      </c>
      <c r="AX33" s="70">
        <v>322</v>
      </c>
      <c r="AY33" s="70">
        <v>205</v>
      </c>
      <c r="AZ33" s="65">
        <v>1235</v>
      </c>
      <c r="BA33" s="70">
        <v>260</v>
      </c>
    </row>
    <row r="34" spans="1:53">
      <c r="A34" s="71" t="s">
        <v>7</v>
      </c>
      <c r="B34" s="24"/>
      <c r="C34" s="72"/>
      <c r="D34" s="72">
        <f>D33/C33-1</f>
        <v>0.10948905109489049</v>
      </c>
      <c r="E34" s="72">
        <f>E33/D33-1</f>
        <v>1.3157894736842035E-2</v>
      </c>
      <c r="F34" s="72">
        <f>F33/E33-1</f>
        <v>-0.35497835497835495</v>
      </c>
      <c r="G34" s="24"/>
      <c r="H34" s="72">
        <f>H33/F33-1</f>
        <v>1.0402684563758391</v>
      </c>
      <c r="I34" s="72">
        <f>I33/H33-1</f>
        <v>-0.11019736842105265</v>
      </c>
      <c r="J34" s="72">
        <f>J33/I33-1</f>
        <v>2.8595194085027726</v>
      </c>
      <c r="K34" s="72">
        <f>K33/J33-1</f>
        <v>-0.82471264367816088</v>
      </c>
      <c r="L34" s="24"/>
      <c r="M34" s="72">
        <f>M33/K33-1</f>
        <v>0.75409836065573765</v>
      </c>
      <c r="N34" s="72">
        <f>N33/M33-1</f>
        <v>-6.230529595015577E-3</v>
      </c>
      <c r="O34" s="72">
        <f>O33/N33-1</f>
        <v>-7.8369905956112818E-2</v>
      </c>
      <c r="P34" s="72">
        <f>P33/O33-1</f>
        <v>-2.2108843537414935E-2</v>
      </c>
      <c r="Q34" s="24"/>
      <c r="R34" s="72">
        <f>R33/P33-1</f>
        <v>-0.29217391304347828</v>
      </c>
      <c r="S34" s="72">
        <f>S33/R33-1</f>
        <v>0.4373464373464373</v>
      </c>
      <c r="T34" s="72">
        <f>T33/S33-1</f>
        <v>-5.9829059829059839E-2</v>
      </c>
      <c r="U34" s="72">
        <f>U33/T33-1</f>
        <v>-3.2727272727272716E-2</v>
      </c>
      <c r="V34" s="24"/>
      <c r="W34" s="72">
        <f>W33/U33-1</f>
        <v>9.3984962406014949E-2</v>
      </c>
      <c r="X34" s="72">
        <f>X33/W33-1</f>
        <v>-0.28694158075601373</v>
      </c>
      <c r="Y34" s="72">
        <f>Y33/X33-1</f>
        <v>-0.17590361445783131</v>
      </c>
      <c r="Z34" s="72">
        <f>Z33/Y33-1</f>
        <v>0.52631578947368429</v>
      </c>
      <c r="AA34" s="24"/>
      <c r="AB34" s="72">
        <f>AB33/Z33-1</f>
        <v>-4.789272030651337E-2</v>
      </c>
      <c r="AC34" s="72">
        <f>AC33/AB33-1</f>
        <v>-4.8289738430583484E-2</v>
      </c>
      <c r="AD34" s="72">
        <f>AD33/AC33-1</f>
        <v>-5.0739957716701922E-2</v>
      </c>
      <c r="AE34" s="72">
        <f>AE33/AD33-1</f>
        <v>-0.21603563474387533</v>
      </c>
      <c r="AF34" s="24"/>
      <c r="AG34" s="72">
        <f>AG33/AE33-1</f>
        <v>0.29829545454545459</v>
      </c>
      <c r="AH34" s="72">
        <f>AH33/AG33-1</f>
        <v>0.77242888402625831</v>
      </c>
      <c r="AI34" s="72">
        <f>AI33/AH33-1</f>
        <v>-0.47160493827160499</v>
      </c>
      <c r="AJ34" s="72">
        <f>AJ33/AI33-1</f>
        <v>-2.8037383177570097E-2</v>
      </c>
      <c r="AK34" s="24"/>
      <c r="AL34" s="72">
        <v>0.11298076923076916</v>
      </c>
      <c r="AM34" s="72">
        <v>4.1036717062634898E-2</v>
      </c>
      <c r="AN34" s="72">
        <v>-0.15560165975103735</v>
      </c>
      <c r="AO34" s="72">
        <v>-9.3366093366093361E-2</v>
      </c>
      <c r="AP34" s="24"/>
      <c r="AQ34" s="72">
        <v>-0.21951219512195119</v>
      </c>
      <c r="AR34" s="72">
        <v>0.30902777777777768</v>
      </c>
      <c r="AS34" s="72">
        <v>4.5092838196286511E-2</v>
      </c>
      <c r="AT34" s="72">
        <v>-0.53045685279187815</v>
      </c>
      <c r="AU34" s="24"/>
      <c r="AV34" s="72">
        <v>0.89189189189189189</v>
      </c>
      <c r="AW34" s="72">
        <v>2.2857142857142909E-2</v>
      </c>
      <c r="AX34" s="72">
        <v>-0.1005586592178771</v>
      </c>
      <c r="AY34" s="72">
        <v>-0.36335403726708071</v>
      </c>
      <c r="AZ34" s="24"/>
      <c r="BA34" s="72">
        <v>0.26829268292682928</v>
      </c>
    </row>
    <row r="35" spans="1:53">
      <c r="A35" s="71" t="s">
        <v>8</v>
      </c>
      <c r="B35" s="24"/>
      <c r="C35" s="73"/>
      <c r="D35" s="73"/>
      <c r="E35" s="73"/>
      <c r="F35" s="73"/>
      <c r="G35" s="24">
        <f t="shared" ref="G35:N35" si="49">G33/B33-1</f>
        <v>0.22330827067669179</v>
      </c>
      <c r="H35" s="73">
        <f t="shared" si="49"/>
        <v>0.47931873479318732</v>
      </c>
      <c r="I35" s="73">
        <f t="shared" si="49"/>
        <v>0.18640350877192979</v>
      </c>
      <c r="J35" s="73">
        <f t="shared" si="49"/>
        <v>3.5194805194805197</v>
      </c>
      <c r="K35" s="73">
        <f t="shared" si="49"/>
        <v>0.22818791946308714</v>
      </c>
      <c r="L35" s="24">
        <f t="shared" si="49"/>
        <v>1.2145052243392747</v>
      </c>
      <c r="M35" s="73">
        <f t="shared" si="49"/>
        <v>5.5921052631578982E-2</v>
      </c>
      <c r="N35" s="73">
        <f t="shared" si="49"/>
        <v>0.17929759704251391</v>
      </c>
      <c r="O35" s="73">
        <f t="shared" ref="O35:Y35" si="50">O33/J33-1</f>
        <v>-0.71839080459770122</v>
      </c>
      <c r="P35" s="73">
        <f t="shared" si="50"/>
        <v>0.5710382513661203</v>
      </c>
      <c r="Q35" s="24">
        <f t="shared" si="50"/>
        <v>-0.32195392728281991</v>
      </c>
      <c r="R35" s="73">
        <f t="shared" si="50"/>
        <v>-0.36604361370716509</v>
      </c>
      <c r="S35" s="73">
        <f t="shared" si="50"/>
        <v>-8.3072100313479669E-2</v>
      </c>
      <c r="T35" s="73">
        <f t="shared" si="50"/>
        <v>-6.4625850340136015E-2</v>
      </c>
      <c r="U35" s="73">
        <f t="shared" si="50"/>
        <v>-7.478260869565212E-2</v>
      </c>
      <c r="V35" s="24">
        <f t="shared" si="50"/>
        <v>-0.15104379860826855</v>
      </c>
      <c r="W35" s="73">
        <f t="shared" si="50"/>
        <v>0.42997542997542992</v>
      </c>
      <c r="X35" s="73">
        <f t="shared" si="50"/>
        <v>-0.29059829059829057</v>
      </c>
      <c r="Y35" s="73">
        <f t="shared" si="50"/>
        <v>-0.37818181818181817</v>
      </c>
      <c r="Z35" s="73">
        <f t="shared" ref="Z35:AI35" si="51">Z33/U33-1</f>
        <v>-1.8796992481203034E-2</v>
      </c>
      <c r="AA35" s="24">
        <f t="shared" si="51"/>
        <v>-0.10270009643201539</v>
      </c>
      <c r="AB35" s="73">
        <f t="shared" si="51"/>
        <v>-0.14604810996563578</v>
      </c>
      <c r="AC35" s="73">
        <f t="shared" si="51"/>
        <v>0.13975903614457841</v>
      </c>
      <c r="AD35" s="73">
        <f t="shared" si="51"/>
        <v>0.3128654970760234</v>
      </c>
      <c r="AE35" s="73">
        <f t="shared" si="51"/>
        <v>-0.32567049808429116</v>
      </c>
      <c r="AF35" s="24">
        <f t="shared" si="51"/>
        <v>-4.8361096184846852E-2</v>
      </c>
      <c r="AG35" s="73">
        <f t="shared" si="51"/>
        <v>-8.0482897384305807E-2</v>
      </c>
      <c r="AH35" s="73">
        <f t="shared" si="51"/>
        <v>0.71247357293868929</v>
      </c>
      <c r="AI35" s="73">
        <f t="shared" si="51"/>
        <v>-4.6770601336302842E-2</v>
      </c>
      <c r="AJ35" s="73">
        <f t="shared" ref="AJ35:AS35" si="52">AJ33/AE33-1</f>
        <v>0.18181818181818188</v>
      </c>
      <c r="AK35" s="24">
        <v>0.19198193111236583</v>
      </c>
      <c r="AL35" s="73">
        <v>1.3129102844638973E-2</v>
      </c>
      <c r="AM35" s="73">
        <v>-0.40493827160493823</v>
      </c>
      <c r="AN35" s="73">
        <v>-4.9065420560747697E-2</v>
      </c>
      <c r="AO35" s="73">
        <v>-0.11298076923076927</v>
      </c>
      <c r="AP35" s="24">
        <v>-0.18474656560871627</v>
      </c>
      <c r="AQ35" s="73">
        <v>-0.37796976241900648</v>
      </c>
      <c r="AR35" s="73">
        <v>-0.21784232365145229</v>
      </c>
      <c r="AS35" s="73">
        <v>-3.1941031941031928E-2</v>
      </c>
      <c r="AT35" s="73">
        <v>-0.49864498644986455</v>
      </c>
      <c r="AU35" s="24">
        <v>-0.27716443927948864</v>
      </c>
      <c r="AV35" s="73">
        <v>0.21527777777777768</v>
      </c>
      <c r="AW35" s="73">
        <v>-5.0397877984084904E-2</v>
      </c>
      <c r="AX35" s="73">
        <v>-0.18274111675126903</v>
      </c>
      <c r="AY35" s="73">
        <v>0.10810810810810811</v>
      </c>
      <c r="AZ35" s="24">
        <v>-7.2347266881028771E-3</v>
      </c>
      <c r="BA35" s="73">
        <v>-0.25714285714285712</v>
      </c>
    </row>
    <row r="36" spans="1:53" ht="25.5">
      <c r="A36" s="89" t="s">
        <v>276</v>
      </c>
      <c r="B36" s="65">
        <f>B39+B18</f>
        <v>3869</v>
      </c>
      <c r="C36" s="80" t="s">
        <v>53</v>
      </c>
      <c r="D36" s="80" t="s">
        <v>53</v>
      </c>
      <c r="E36" s="80" t="s">
        <v>53</v>
      </c>
      <c r="F36" s="80" t="s">
        <v>53</v>
      </c>
      <c r="G36" s="65">
        <f>G39+G18</f>
        <v>4194</v>
      </c>
      <c r="H36" s="80" t="s">
        <v>53</v>
      </c>
      <c r="I36" s="80" t="s">
        <v>53</v>
      </c>
      <c r="J36" s="80" t="s">
        <v>53</v>
      </c>
      <c r="K36" s="80" t="s">
        <v>53</v>
      </c>
      <c r="L36" s="65">
        <f>L39+L18</f>
        <v>4658</v>
      </c>
      <c r="M36" s="70">
        <f t="shared" ref="M36:N36" si="53">M39+M18</f>
        <v>1192</v>
      </c>
      <c r="N36" s="70">
        <f t="shared" si="53"/>
        <v>1268</v>
      </c>
      <c r="O36" s="70">
        <f>O39+O18</f>
        <v>1270</v>
      </c>
      <c r="P36" s="70">
        <f>Q36-O36-N36-M36</f>
        <v>1207</v>
      </c>
      <c r="Q36" s="65">
        <f>Q39+Q18</f>
        <v>4937</v>
      </c>
      <c r="R36" s="70">
        <f t="shared" ref="R36:S36" si="54">R39+R18</f>
        <v>1250</v>
      </c>
      <c r="S36" s="70">
        <f t="shared" si="54"/>
        <v>1221</v>
      </c>
      <c r="T36" s="70">
        <f>T39+T18</f>
        <v>1195</v>
      </c>
      <c r="U36" s="70">
        <f>V36-T36-S36-R36</f>
        <v>1123</v>
      </c>
      <c r="V36" s="65">
        <f>V39+V18</f>
        <v>4789</v>
      </c>
      <c r="W36" s="70">
        <f t="shared" ref="W36:X36" si="55">W39+W18</f>
        <v>1185</v>
      </c>
      <c r="X36" s="70">
        <f t="shared" si="55"/>
        <v>1121</v>
      </c>
      <c r="Y36" s="70">
        <f>Y39+Y18</f>
        <v>1020</v>
      </c>
      <c r="Z36" s="70">
        <f>AA36-Y36-X36-W36</f>
        <v>1023</v>
      </c>
      <c r="AA36" s="65">
        <f>AA39+AA18</f>
        <v>4349</v>
      </c>
      <c r="AB36" s="70">
        <f t="shared" ref="AB36:AC36" si="56">AB39+AB18</f>
        <v>1017</v>
      </c>
      <c r="AC36" s="70">
        <f t="shared" si="56"/>
        <v>1052</v>
      </c>
      <c r="AD36" s="70">
        <f>AD39+AD18</f>
        <v>1044</v>
      </c>
      <c r="AE36" s="70">
        <f>AF36-AD36-AC36-AB36</f>
        <v>1002</v>
      </c>
      <c r="AF36" s="65">
        <f>AF39+AF18</f>
        <v>4115</v>
      </c>
      <c r="AG36" s="70">
        <f t="shared" ref="AG36:AH36" si="57">AG39+AG18</f>
        <v>994</v>
      </c>
      <c r="AH36" s="70">
        <f t="shared" si="57"/>
        <v>985</v>
      </c>
      <c r="AI36" s="70">
        <f>AI39+AI18</f>
        <v>973</v>
      </c>
      <c r="AJ36" s="70">
        <f>AK36-AI36-AH36-AG36</f>
        <v>969</v>
      </c>
      <c r="AK36" s="65">
        <v>3921</v>
      </c>
      <c r="AL36" s="70">
        <v>936</v>
      </c>
      <c r="AM36" s="70">
        <v>1104</v>
      </c>
      <c r="AN36" s="70">
        <v>1096</v>
      </c>
      <c r="AO36" s="70">
        <v>1023</v>
      </c>
      <c r="AP36" s="65">
        <v>4159</v>
      </c>
      <c r="AQ36" s="70">
        <v>1028</v>
      </c>
      <c r="AR36" s="70">
        <v>1044</v>
      </c>
      <c r="AS36" s="70">
        <v>1015</v>
      </c>
      <c r="AT36" s="70">
        <v>973</v>
      </c>
      <c r="AU36" s="65">
        <v>4060</v>
      </c>
      <c r="AV36" s="70">
        <v>990</v>
      </c>
      <c r="AW36" s="70">
        <v>996</v>
      </c>
      <c r="AX36" s="70">
        <v>957</v>
      </c>
      <c r="AY36" s="70">
        <v>950</v>
      </c>
      <c r="AZ36" s="65">
        <v>3893</v>
      </c>
      <c r="BA36" s="70">
        <v>908</v>
      </c>
    </row>
    <row r="37" spans="1:53">
      <c r="A37" s="71" t="s">
        <v>7</v>
      </c>
      <c r="B37" s="24"/>
      <c r="C37" s="72"/>
      <c r="D37" s="72"/>
      <c r="E37" s="72"/>
      <c r="F37" s="72"/>
      <c r="G37" s="24"/>
      <c r="H37" s="72"/>
      <c r="I37" s="72"/>
      <c r="J37" s="72"/>
      <c r="K37" s="72"/>
      <c r="L37" s="24"/>
      <c r="M37" s="72"/>
      <c r="N37" s="72">
        <f>N36/M36-1</f>
        <v>6.3758389261745041E-2</v>
      </c>
      <c r="O37" s="72">
        <f>O36/N36-1</f>
        <v>1.577287066246047E-3</v>
      </c>
      <c r="P37" s="72">
        <f>P36/O36-1</f>
        <v>-4.9606299212598404E-2</v>
      </c>
      <c r="Q37" s="24"/>
      <c r="R37" s="72">
        <f>R36/P36-1</f>
        <v>3.5625517812758911E-2</v>
      </c>
      <c r="S37" s="72">
        <f>S36/R36-1</f>
        <v>-2.3199999999999998E-2</v>
      </c>
      <c r="T37" s="72">
        <f>T36/S36-1</f>
        <v>-2.1294021294021248E-2</v>
      </c>
      <c r="U37" s="72">
        <f>U36/T36-1</f>
        <v>-6.025104602510456E-2</v>
      </c>
      <c r="V37" s="24"/>
      <c r="W37" s="72">
        <f>W36/U36-1</f>
        <v>5.5209260908281488E-2</v>
      </c>
      <c r="X37" s="72">
        <f>X36/W36-1</f>
        <v>-5.400843881856543E-2</v>
      </c>
      <c r="Y37" s="72">
        <f>Y36/X36-1</f>
        <v>-9.0098126672613743E-2</v>
      </c>
      <c r="Z37" s="72">
        <f>Z36/Y36-1</f>
        <v>2.9411764705882248E-3</v>
      </c>
      <c r="AA37" s="24"/>
      <c r="AB37" s="72">
        <f>AB36/Z36-1</f>
        <v>-5.8651026392961825E-3</v>
      </c>
      <c r="AC37" s="72">
        <f>AC36/AB36-1</f>
        <v>3.4414945919370776E-2</v>
      </c>
      <c r="AD37" s="72">
        <f>AD36/AC36-1</f>
        <v>-7.6045627376425395E-3</v>
      </c>
      <c r="AE37" s="72">
        <f>AE36/AD36-1</f>
        <v>-4.0229885057471271E-2</v>
      </c>
      <c r="AF37" s="24"/>
      <c r="AG37" s="72">
        <f>AG36/AE36-1</f>
        <v>-7.9840319361277334E-3</v>
      </c>
      <c r="AH37" s="72">
        <f>AH36/AG36-1</f>
        <v>-9.0543259557344102E-3</v>
      </c>
      <c r="AI37" s="72">
        <f>AI36/AH36-1</f>
        <v>-1.2182741116751217E-2</v>
      </c>
      <c r="AJ37" s="72">
        <f>AJ36/AI36-1</f>
        <v>-4.1109969167523186E-3</v>
      </c>
      <c r="AK37" s="24"/>
      <c r="AL37" s="72">
        <v>-3.4055727554179516E-2</v>
      </c>
      <c r="AM37" s="72">
        <v>0.17948717948717952</v>
      </c>
      <c r="AN37" s="72">
        <v>-7.2463768115942351E-3</v>
      </c>
      <c r="AO37" s="72">
        <v>-6.6605839416058354E-2</v>
      </c>
      <c r="AP37" s="24"/>
      <c r="AQ37" s="72">
        <v>4.8875855327468187E-3</v>
      </c>
      <c r="AR37" s="72">
        <v>1.5564202334630295E-2</v>
      </c>
      <c r="AS37" s="72">
        <v>-2.777777777777779E-2</v>
      </c>
      <c r="AT37" s="72">
        <v>-4.1379310344827558E-2</v>
      </c>
      <c r="AU37" s="24"/>
      <c r="AV37" s="72">
        <v>1.747173689619741E-2</v>
      </c>
      <c r="AW37" s="72">
        <v>6.0606060606060996E-3</v>
      </c>
      <c r="AX37" s="72">
        <v>-3.9156626506024139E-2</v>
      </c>
      <c r="AY37" s="72">
        <v>-7.3145245559038674E-3</v>
      </c>
      <c r="AZ37" s="24"/>
      <c r="BA37" s="72">
        <v>-4.4210526315789478E-2</v>
      </c>
    </row>
    <row r="38" spans="1:53">
      <c r="A38" s="71" t="s">
        <v>8</v>
      </c>
      <c r="B38" s="24"/>
      <c r="C38" s="73"/>
      <c r="D38" s="73"/>
      <c r="E38" s="73"/>
      <c r="F38" s="73"/>
      <c r="G38" s="24">
        <f t="shared" ref="G38" si="58">G36/B36-1</f>
        <v>8.400103385887836E-2</v>
      </c>
      <c r="H38" s="73"/>
      <c r="I38" s="73"/>
      <c r="J38" s="73"/>
      <c r="K38" s="73"/>
      <c r="L38" s="24">
        <f t="shared" ref="L38" si="59">L36/G36-1</f>
        <v>0.11063423938960426</v>
      </c>
      <c r="M38" s="73"/>
      <c r="N38" s="73"/>
      <c r="O38" s="73"/>
      <c r="P38" s="73"/>
      <c r="Q38" s="24">
        <f t="shared" ref="Q38" si="60">Q36/L36-1</f>
        <v>5.9896951481322347E-2</v>
      </c>
      <c r="R38" s="73">
        <f t="shared" ref="R38" si="61">R36/M36-1</f>
        <v>4.8657718120805438E-2</v>
      </c>
      <c r="S38" s="73">
        <f t="shared" ref="S38" si="62">S36/N36-1</f>
        <v>-3.7066246056782326E-2</v>
      </c>
      <c r="T38" s="73">
        <f t="shared" ref="T38" si="63">T36/O36-1</f>
        <v>-5.9055118110236227E-2</v>
      </c>
      <c r="U38" s="73">
        <f t="shared" ref="U38:V38" si="64">U36/P36-1</f>
        <v>-6.9594034797017423E-2</v>
      </c>
      <c r="V38" s="24">
        <f t="shared" si="64"/>
        <v>-2.9977719262710201E-2</v>
      </c>
      <c r="W38" s="73">
        <f t="shared" ref="W38" si="65">W36/R36-1</f>
        <v>-5.2000000000000046E-2</v>
      </c>
      <c r="X38" s="73">
        <f t="shared" ref="X38" si="66">X36/S36-1</f>
        <v>-8.1900081900081911E-2</v>
      </c>
      <c r="Y38" s="73">
        <f t="shared" ref="Y38" si="67">Y36/T36-1</f>
        <v>-0.14644351464435146</v>
      </c>
      <c r="Z38" s="73">
        <f t="shared" ref="Z38:AA38" si="68">Z36/U36-1</f>
        <v>-8.9047195013357117E-2</v>
      </c>
      <c r="AA38" s="24">
        <f t="shared" si="68"/>
        <v>-9.1877218626017942E-2</v>
      </c>
      <c r="AB38" s="73">
        <f t="shared" ref="AB38" si="69">AB36/W36-1</f>
        <v>-0.14177215189873416</v>
      </c>
      <c r="AC38" s="73">
        <f t="shared" ref="AC38" si="70">AC36/X36-1</f>
        <v>-6.15521855486173E-2</v>
      </c>
      <c r="AD38" s="73">
        <f t="shared" ref="AD38" si="71">AD36/Y36-1</f>
        <v>2.3529411764705799E-2</v>
      </c>
      <c r="AE38" s="73">
        <f t="shared" ref="AE38:AF38" si="72">AE36/Z36-1</f>
        <v>-2.0527859237536639E-2</v>
      </c>
      <c r="AF38" s="24">
        <f t="shared" si="72"/>
        <v>-5.3805472522418962E-2</v>
      </c>
      <c r="AG38" s="73">
        <f t="shared" ref="AG38" si="73">AG36/AB36-1</f>
        <v>-2.2615535889872196E-2</v>
      </c>
      <c r="AH38" s="73">
        <f t="shared" ref="AH38" si="74">AH36/AC36-1</f>
        <v>-6.3688212927756616E-2</v>
      </c>
      <c r="AI38" s="73">
        <f t="shared" ref="AI38" si="75">AI36/AD36-1</f>
        <v>-6.8007662835249061E-2</v>
      </c>
      <c r="AJ38" s="73">
        <f t="shared" ref="AJ38:AK38" si="76">AJ36/AE36-1</f>
        <v>-3.2934131736526928E-2</v>
      </c>
      <c r="AK38" s="24">
        <v>-4.7144592952612419E-2</v>
      </c>
      <c r="AL38" s="73">
        <v>-5.835010060362178E-2</v>
      </c>
      <c r="AM38" s="73">
        <v>0.12081218274111682</v>
      </c>
      <c r="AN38" s="73">
        <v>0.12641315519013352</v>
      </c>
      <c r="AO38" s="73">
        <v>5.5727554179566541E-2</v>
      </c>
      <c r="AP38" s="24">
        <v>6.0698801326192209E-2</v>
      </c>
      <c r="AQ38" s="73">
        <v>9.8290598290598385E-2</v>
      </c>
      <c r="AR38" s="73">
        <v>-5.4347826086956541E-2</v>
      </c>
      <c r="AS38" s="73">
        <v>-7.3905109489051046E-2</v>
      </c>
      <c r="AT38" s="73">
        <v>-4.8875855327468187E-2</v>
      </c>
      <c r="AU38" s="24">
        <v>-2.3803798990141845E-2</v>
      </c>
      <c r="AV38" s="73">
        <v>-3.6964980544747061E-2</v>
      </c>
      <c r="AW38" s="73">
        <v>-4.5977011494252928E-2</v>
      </c>
      <c r="AX38" s="73">
        <v>-5.7142857142857162E-2</v>
      </c>
      <c r="AY38" s="73">
        <v>-2.3638232271325776E-2</v>
      </c>
      <c r="AZ38" s="24">
        <v>-4.1133004926108385E-2</v>
      </c>
      <c r="BA38" s="73">
        <v>-8.2828282828282807E-2</v>
      </c>
    </row>
    <row r="39" spans="1:53" s="36" customFormat="1">
      <c r="A39" s="69" t="s">
        <v>217</v>
      </c>
      <c r="B39" s="65">
        <f>B12+B21</f>
        <v>3830</v>
      </c>
      <c r="C39" s="77">
        <f>C12+C21</f>
        <v>1009</v>
      </c>
      <c r="D39" s="77">
        <f>D12+D21</f>
        <v>1133</v>
      </c>
      <c r="E39" s="77">
        <f>E12+E21</f>
        <v>1140</v>
      </c>
      <c r="F39" s="70">
        <f>G39-E39-D39-C39</f>
        <v>816</v>
      </c>
      <c r="G39" s="65">
        <f>G12+G21</f>
        <v>4098</v>
      </c>
      <c r="H39" s="77">
        <f>H12+H21</f>
        <v>1170</v>
      </c>
      <c r="I39" s="77">
        <f>I12+I21</f>
        <v>1195</v>
      </c>
      <c r="J39" s="77">
        <f>J12+J21</f>
        <v>1236</v>
      </c>
      <c r="K39" s="70">
        <f>L39-J39-I39-H39</f>
        <v>856</v>
      </c>
      <c r="L39" s="65">
        <f>L12+L21</f>
        <v>4457</v>
      </c>
      <c r="M39" s="77">
        <f>M12+M21</f>
        <v>1217</v>
      </c>
      <c r="N39" s="77">
        <f>N12+N21</f>
        <v>1338</v>
      </c>
      <c r="O39" s="77">
        <f>O12+O21</f>
        <v>1329</v>
      </c>
      <c r="P39" s="70">
        <f>Q39-O39-N39-M39</f>
        <v>1269</v>
      </c>
      <c r="Q39" s="65">
        <f>Q12+Q21</f>
        <v>5153</v>
      </c>
      <c r="R39" s="77">
        <f>R12+R21</f>
        <v>1000</v>
      </c>
      <c r="S39" s="77">
        <f>S12+S21</f>
        <v>1283</v>
      </c>
      <c r="T39" s="77">
        <f>T12+T21</f>
        <v>1301</v>
      </c>
      <c r="U39" s="70">
        <f>V39-T39-S39-R39</f>
        <v>1066</v>
      </c>
      <c r="V39" s="65">
        <f>V12+V21</f>
        <v>4650</v>
      </c>
      <c r="W39" s="77">
        <f>W12+W21</f>
        <v>1208</v>
      </c>
      <c r="X39" s="77">
        <f>X12+X21</f>
        <v>1104</v>
      </c>
      <c r="Y39" s="77">
        <f>Y12+Y21</f>
        <v>1026</v>
      </c>
      <c r="Z39" s="70">
        <f>AA39-Y39-X39-W39</f>
        <v>1139</v>
      </c>
      <c r="AA39" s="65">
        <f>AA12+AA21</f>
        <v>4477</v>
      </c>
      <c r="AB39" s="77">
        <f>AB12+AB21</f>
        <v>1089</v>
      </c>
      <c r="AC39" s="77">
        <f>AC12+AC21</f>
        <v>1070</v>
      </c>
      <c r="AD39" s="77">
        <f>AD12+AD21</f>
        <v>1050</v>
      </c>
      <c r="AE39" s="70">
        <f>AF39-AD39-AC39-AB39</f>
        <v>921</v>
      </c>
      <c r="AF39" s="65">
        <f>AF12+AF21</f>
        <v>4130</v>
      </c>
      <c r="AG39" s="77">
        <f>AG12+AG21</f>
        <v>1002</v>
      </c>
      <c r="AH39" s="77">
        <f>AH12+AH21</f>
        <v>1553</v>
      </c>
      <c r="AI39" s="77">
        <f>AI12+AI21</f>
        <v>998</v>
      </c>
      <c r="AJ39" s="70">
        <f>AK39-AI39-AH39-AG39</f>
        <v>954</v>
      </c>
      <c r="AK39" s="65">
        <v>4507</v>
      </c>
      <c r="AL39" s="77">
        <v>953</v>
      </c>
      <c r="AM39" s="77">
        <v>1245</v>
      </c>
      <c r="AN39" s="77">
        <v>1109</v>
      </c>
      <c r="AO39" s="70">
        <v>947</v>
      </c>
      <c r="AP39" s="65">
        <v>4254</v>
      </c>
      <c r="AQ39" s="77">
        <v>1023</v>
      </c>
      <c r="AR39" s="77">
        <v>1056</v>
      </c>
      <c r="AS39" s="77">
        <v>1041</v>
      </c>
      <c r="AT39" s="70">
        <v>940</v>
      </c>
      <c r="AU39" s="65">
        <v>4060</v>
      </c>
      <c r="AV39" s="77">
        <v>994</v>
      </c>
      <c r="AW39" s="77">
        <v>997</v>
      </c>
      <c r="AX39" s="77">
        <v>980</v>
      </c>
      <c r="AY39" s="70">
        <v>854</v>
      </c>
      <c r="AZ39" s="65">
        <v>3825</v>
      </c>
      <c r="BA39" s="77">
        <v>987</v>
      </c>
    </row>
    <row r="40" spans="1:53">
      <c r="A40" s="71" t="s">
        <v>7</v>
      </c>
      <c r="B40" s="24"/>
      <c r="C40" s="72"/>
      <c r="D40" s="72">
        <f>D39/C39-1</f>
        <v>0.12289395441030715</v>
      </c>
      <c r="E40" s="72">
        <f>E39/D39-1</f>
        <v>6.1782877316858276E-3</v>
      </c>
      <c r="F40" s="72">
        <f>F39/E39-1</f>
        <v>-0.28421052631578947</v>
      </c>
      <c r="G40" s="24"/>
      <c r="H40" s="72">
        <f>H39/F39-1</f>
        <v>0.43382352941176472</v>
      </c>
      <c r="I40" s="72">
        <f>I39/H39-1</f>
        <v>2.1367521367521292E-2</v>
      </c>
      <c r="J40" s="72">
        <f>J39/I39-1</f>
        <v>3.4309623430962333E-2</v>
      </c>
      <c r="K40" s="72">
        <f>K39/J39-1</f>
        <v>-0.30744336569579289</v>
      </c>
      <c r="L40" s="24"/>
      <c r="M40" s="72">
        <f>M39/K39-1</f>
        <v>0.42172897196261672</v>
      </c>
      <c r="N40" s="72">
        <f>N39/M39-1</f>
        <v>9.9424815119145471E-2</v>
      </c>
      <c r="O40" s="72">
        <f>O39/N39-1</f>
        <v>-6.7264573991031584E-3</v>
      </c>
      <c r="P40" s="72">
        <f>P39/O39-1</f>
        <v>-4.5146726862302478E-2</v>
      </c>
      <c r="Q40" s="24"/>
      <c r="R40" s="72">
        <f>R39/P39-1</f>
        <v>-0.21197793538219067</v>
      </c>
      <c r="S40" s="72">
        <f>S39/R39-1</f>
        <v>0.28299999999999992</v>
      </c>
      <c r="T40" s="72">
        <f>T39/S39-1</f>
        <v>1.4029618082618933E-2</v>
      </c>
      <c r="U40" s="72">
        <f>U39/T39-1</f>
        <v>-0.18063028439661799</v>
      </c>
      <c r="V40" s="24"/>
      <c r="W40" s="72">
        <f>W39/U39-1</f>
        <v>0.13320825515947465</v>
      </c>
      <c r="X40" s="72">
        <f>X39/W39-1</f>
        <v>-8.6092715231788075E-2</v>
      </c>
      <c r="Y40" s="72">
        <f>Y39/X39-1</f>
        <v>-7.0652173913043459E-2</v>
      </c>
      <c r="Z40" s="72">
        <f>Z39/Y39-1</f>
        <v>0.11013645224171542</v>
      </c>
      <c r="AA40" s="24"/>
      <c r="AB40" s="72">
        <f>AB39/Z39-1</f>
        <v>-4.3898156277436318E-2</v>
      </c>
      <c r="AC40" s="72">
        <f>AC39/AB39-1</f>
        <v>-1.7447199265381075E-2</v>
      </c>
      <c r="AD40" s="72">
        <f>AD39/AC39-1</f>
        <v>-1.8691588785046731E-2</v>
      </c>
      <c r="AE40" s="72">
        <f>AE39/AD39-1</f>
        <v>-0.12285714285714289</v>
      </c>
      <c r="AF40" s="24"/>
      <c r="AG40" s="72">
        <f>AG39/AE39-1</f>
        <v>8.7947882736156391E-2</v>
      </c>
      <c r="AH40" s="72">
        <f>AH39/AG39-1</f>
        <v>0.54990019960079839</v>
      </c>
      <c r="AI40" s="72">
        <f>AI39/AH39-1</f>
        <v>-0.35737282678686411</v>
      </c>
      <c r="AJ40" s="72">
        <f>AJ39/AI39-1</f>
        <v>-4.4088176352705455E-2</v>
      </c>
      <c r="AK40" s="24"/>
      <c r="AL40" s="72">
        <v>-1.0482180293500676E-3</v>
      </c>
      <c r="AM40" s="72">
        <v>0.3064008394543547</v>
      </c>
      <c r="AN40" s="72">
        <v>-0.10923694779116466</v>
      </c>
      <c r="AO40" s="72">
        <v>-0.14607754733994593</v>
      </c>
      <c r="AP40" s="24"/>
      <c r="AQ40" s="72">
        <v>8.0253431890179527E-2</v>
      </c>
      <c r="AR40" s="72">
        <v>3.2258064516129004E-2</v>
      </c>
      <c r="AS40" s="72">
        <v>-1.4204545454545414E-2</v>
      </c>
      <c r="AT40" s="72">
        <v>-9.7022094140249759E-2</v>
      </c>
      <c r="AU40" s="24"/>
      <c r="AV40" s="72">
        <v>5.7446808510638325E-2</v>
      </c>
      <c r="AW40" s="72">
        <v>3.0181086519114331E-3</v>
      </c>
      <c r="AX40" s="72">
        <v>-1.7051153460381108E-2</v>
      </c>
      <c r="AY40" s="72">
        <v>-0.12857142857142856</v>
      </c>
      <c r="AZ40" s="24"/>
      <c r="BA40" s="72">
        <v>0.15573770491803285</v>
      </c>
    </row>
    <row r="41" spans="1:53">
      <c r="A41" s="71" t="s">
        <v>8</v>
      </c>
      <c r="B41" s="24"/>
      <c r="C41" s="73"/>
      <c r="D41" s="73"/>
      <c r="E41" s="73"/>
      <c r="F41" s="73"/>
      <c r="G41" s="24">
        <f t="shared" ref="G41:N41" si="77">G39/B39-1</f>
        <v>6.9973890339425582E-2</v>
      </c>
      <c r="H41" s="73">
        <f t="shared" si="77"/>
        <v>0.15956392467789882</v>
      </c>
      <c r="I41" s="73">
        <f t="shared" si="77"/>
        <v>5.4721977052074156E-2</v>
      </c>
      <c r="J41" s="73">
        <f t="shared" si="77"/>
        <v>8.4210526315789513E-2</v>
      </c>
      <c r="K41" s="73">
        <f t="shared" si="77"/>
        <v>4.9019607843137303E-2</v>
      </c>
      <c r="L41" s="24">
        <f t="shared" si="77"/>
        <v>8.7603709126403029E-2</v>
      </c>
      <c r="M41" s="73">
        <f t="shared" si="77"/>
        <v>4.017094017094025E-2</v>
      </c>
      <c r="N41" s="73">
        <f t="shared" si="77"/>
        <v>0.11966527196652721</v>
      </c>
      <c r="O41" s="73">
        <f t="shared" ref="O41:Y41" si="78">O39/J39-1</f>
        <v>7.5242718446602019E-2</v>
      </c>
      <c r="P41" s="73">
        <f t="shared" si="78"/>
        <v>0.48247663551401865</v>
      </c>
      <c r="Q41" s="24">
        <f t="shared" si="78"/>
        <v>0.15615885124523232</v>
      </c>
      <c r="R41" s="73">
        <f t="shared" si="78"/>
        <v>-0.17830731306491376</v>
      </c>
      <c r="S41" s="73">
        <f t="shared" si="78"/>
        <v>-4.1106128550074783E-2</v>
      </c>
      <c r="T41" s="73">
        <f t="shared" si="78"/>
        <v>-2.1068472535741178E-2</v>
      </c>
      <c r="U41" s="73">
        <f t="shared" si="78"/>
        <v>-0.1599684791174153</v>
      </c>
      <c r="V41" s="24">
        <f t="shared" si="78"/>
        <v>-9.7613040947021168E-2</v>
      </c>
      <c r="W41" s="73">
        <f t="shared" si="78"/>
        <v>0.20799999999999996</v>
      </c>
      <c r="X41" s="73">
        <f t="shared" si="78"/>
        <v>-0.13951675759937643</v>
      </c>
      <c r="Y41" s="73">
        <f t="shared" si="78"/>
        <v>-0.21137586471944658</v>
      </c>
      <c r="Z41" s="73">
        <f t="shared" ref="Z41:AI41" si="79">Z39/U39-1</f>
        <v>6.8480300187617305E-2</v>
      </c>
      <c r="AA41" s="24">
        <f t="shared" si="79"/>
        <v>-3.7204301075268842E-2</v>
      </c>
      <c r="AB41" s="73">
        <f t="shared" si="79"/>
        <v>-9.8509933774834413E-2</v>
      </c>
      <c r="AC41" s="73">
        <f t="shared" si="79"/>
        <v>-3.0797101449275388E-2</v>
      </c>
      <c r="AD41" s="73">
        <f t="shared" si="79"/>
        <v>2.3391812865497075E-2</v>
      </c>
      <c r="AE41" s="73">
        <f t="shared" si="79"/>
        <v>-0.19139596136962245</v>
      </c>
      <c r="AF41" s="24">
        <f t="shared" si="79"/>
        <v>-7.7507259325441114E-2</v>
      </c>
      <c r="AG41" s="73">
        <f t="shared" si="79"/>
        <v>-7.9889807162534465E-2</v>
      </c>
      <c r="AH41" s="73">
        <f t="shared" si="79"/>
        <v>0.45140186915887859</v>
      </c>
      <c r="AI41" s="73">
        <f t="shared" si="79"/>
        <v>-4.9523809523809526E-2</v>
      </c>
      <c r="AJ41" s="73">
        <f t="shared" ref="AJ41:AS41" si="80">AJ39/AE39-1</f>
        <v>3.5830618892508159E-2</v>
      </c>
      <c r="AK41" s="24">
        <v>9.1283292978208141E-2</v>
      </c>
      <c r="AL41" s="73">
        <v>-4.8902195608782395E-2</v>
      </c>
      <c r="AM41" s="73">
        <v>-0.1983258209916291</v>
      </c>
      <c r="AN41" s="73">
        <v>0.11122244488977961</v>
      </c>
      <c r="AO41" s="73">
        <v>-7.3375262054506951E-3</v>
      </c>
      <c r="AP41" s="24">
        <v>-5.6134901264699333E-2</v>
      </c>
      <c r="AQ41" s="73">
        <v>7.3452256033578189E-2</v>
      </c>
      <c r="AR41" s="73">
        <v>-0.15180722891566267</v>
      </c>
      <c r="AS41" s="73">
        <v>-6.131650135256983E-2</v>
      </c>
      <c r="AT41" s="73">
        <v>-7.3917634635691787E-3</v>
      </c>
      <c r="AU41" s="24">
        <v>-4.5604137282557633E-2</v>
      </c>
      <c r="AV41" s="73">
        <v>-2.8347996089931549E-2</v>
      </c>
      <c r="AW41" s="73">
        <v>-5.5871212121212155E-2</v>
      </c>
      <c r="AX41" s="73">
        <v>-5.8597502401536938E-2</v>
      </c>
      <c r="AY41" s="73">
        <v>-9.1489361702127625E-2</v>
      </c>
      <c r="AZ41" s="24">
        <v>-5.7881773399014791E-2</v>
      </c>
      <c r="BA41" s="73">
        <v>-7.0422535211267512E-3</v>
      </c>
    </row>
    <row r="42" spans="1:53" hidden="1">
      <c r="A42" s="69" t="s">
        <v>32</v>
      </c>
      <c r="B42" s="64">
        <v>0.51</v>
      </c>
      <c r="C42" s="74">
        <v>0.15</v>
      </c>
      <c r="D42" s="74">
        <v>0.17</v>
      </c>
      <c r="E42" s="74">
        <v>0.18</v>
      </c>
      <c r="F42" s="75">
        <f>G42-E42-D42-C42</f>
        <v>0.12000000000000002</v>
      </c>
      <c r="G42" s="64">
        <v>0.62</v>
      </c>
      <c r="H42" s="74">
        <v>0.23</v>
      </c>
      <c r="I42" s="74">
        <v>0.21</v>
      </c>
      <c r="J42" s="74">
        <v>0.79</v>
      </c>
      <c r="K42" s="75">
        <f>L42-J42-I42-H42</f>
        <v>0.13701858018376797</v>
      </c>
      <c r="L42" s="64">
        <f>3602772/2635496</f>
        <v>1.367018580183768</v>
      </c>
      <c r="M42" s="74">
        <f>641531016/2663427674</f>
        <v>0.24086669304465597</v>
      </c>
      <c r="N42" s="74">
        <v>0.24</v>
      </c>
      <c r="O42" s="75">
        <v>0.22</v>
      </c>
      <c r="P42" s="74">
        <v>0.21</v>
      </c>
      <c r="Q42" s="64">
        <v>0.91</v>
      </c>
      <c r="R42" s="74">
        <v>0.15</v>
      </c>
      <c r="S42" s="74">
        <v>0.22</v>
      </c>
      <c r="T42" s="75">
        <v>0.2</v>
      </c>
      <c r="U42" s="75">
        <f>V42-T42-S42-R42</f>
        <v>0.20000000000000009</v>
      </c>
      <c r="V42" s="64">
        <v>0.77</v>
      </c>
      <c r="W42" s="74">
        <v>0.21</v>
      </c>
      <c r="X42" s="74">
        <v>0.15</v>
      </c>
      <c r="Y42" s="74">
        <v>0.13</v>
      </c>
      <c r="Z42" s="75">
        <f>AA42-Y42-X42-W42</f>
        <v>0.19000000000000003</v>
      </c>
      <c r="AA42" s="64">
        <v>0.68</v>
      </c>
      <c r="AB42" s="74">
        <v>0.18</v>
      </c>
      <c r="AC42" s="74">
        <v>0.17</v>
      </c>
      <c r="AD42" s="74">
        <v>0.16</v>
      </c>
      <c r="AE42" s="75">
        <v>0.13</v>
      </c>
      <c r="AF42" s="64">
        <v>0.65</v>
      </c>
      <c r="AG42" s="74">
        <v>0.17</v>
      </c>
      <c r="AH42" s="74">
        <v>0.3</v>
      </c>
      <c r="AI42" s="74">
        <v>0.16</v>
      </c>
      <c r="AJ42" s="75">
        <v>0.15</v>
      </c>
      <c r="AK42" s="64">
        <v>0.77</v>
      </c>
      <c r="AL42" s="74">
        <v>0.17</v>
      </c>
      <c r="AM42" s="74">
        <v>0.18</v>
      </c>
      <c r="AN42" s="74">
        <v>0.15</v>
      </c>
      <c r="AO42" s="75">
        <v>0.12999999999999998</v>
      </c>
      <c r="AP42" s="64">
        <v>0.63</v>
      </c>
      <c r="AQ42" s="74">
        <v>0.1</v>
      </c>
      <c r="AR42" s="74">
        <v>0.14000000000000001</v>
      </c>
      <c r="AS42" s="74">
        <v>0.14000000000000001</v>
      </c>
      <c r="AT42" s="75">
        <v>6.9999999999999979E-2</v>
      </c>
      <c r="AU42" s="64">
        <v>0.45</v>
      </c>
      <c r="AV42" s="74">
        <v>0.13</v>
      </c>
      <c r="AW42" s="74">
        <v>0.13</v>
      </c>
      <c r="AX42" s="74">
        <v>0.12</v>
      </c>
      <c r="AY42" s="75">
        <v>-0.38</v>
      </c>
      <c r="AZ42" s="64"/>
      <c r="BA42" s="74">
        <v>0.13</v>
      </c>
    </row>
    <row r="43" spans="1:53">
      <c r="A43" s="69" t="s">
        <v>275</v>
      </c>
      <c r="B43" s="64"/>
      <c r="C43" s="74"/>
      <c r="D43" s="74"/>
      <c r="E43" s="74"/>
      <c r="F43" s="75"/>
      <c r="G43" s="64"/>
      <c r="H43" s="74"/>
      <c r="I43" s="74"/>
      <c r="J43" s="74"/>
      <c r="K43" s="75"/>
      <c r="L43" s="64"/>
      <c r="M43" s="74"/>
      <c r="N43" s="74"/>
      <c r="O43" s="75"/>
      <c r="P43" s="74"/>
      <c r="Q43" s="64"/>
      <c r="R43" s="74"/>
      <c r="S43" s="74"/>
      <c r="T43" s="75"/>
      <c r="U43" s="75"/>
      <c r="V43" s="64"/>
      <c r="W43" s="74"/>
      <c r="X43" s="74"/>
      <c r="Y43" s="74"/>
      <c r="Z43" s="75"/>
      <c r="AA43" s="64"/>
      <c r="AB43" s="74"/>
      <c r="AC43" s="74"/>
      <c r="AD43" s="74"/>
      <c r="AE43" s="75"/>
      <c r="AF43" s="64"/>
      <c r="AG43" s="74"/>
      <c r="AH43" s="74"/>
      <c r="AI43" s="74"/>
      <c r="AJ43" s="75"/>
      <c r="AK43" s="64"/>
      <c r="AL43" s="74"/>
      <c r="AM43" s="74"/>
      <c r="AN43" s="74"/>
      <c r="AO43" s="75"/>
      <c r="AP43" s="64"/>
      <c r="AQ43" s="74"/>
      <c r="AR43" s="74"/>
      <c r="AS43" s="74"/>
      <c r="AT43" s="75"/>
      <c r="AU43" s="64"/>
      <c r="AV43" s="74"/>
      <c r="AW43" s="74"/>
      <c r="AX43" s="74"/>
      <c r="AY43" s="75"/>
      <c r="AZ43" s="64"/>
      <c r="BA43" s="77">
        <v>885</v>
      </c>
    </row>
    <row r="44" spans="1:53" ht="8.4499999999999993" customHeight="1">
      <c r="A44" s="89"/>
      <c r="B44" s="64"/>
      <c r="C44" s="74"/>
      <c r="D44" s="74"/>
      <c r="E44" s="74"/>
      <c r="F44" s="75"/>
      <c r="G44" s="64"/>
      <c r="H44" s="74"/>
      <c r="I44" s="74"/>
      <c r="J44" s="74"/>
      <c r="K44" s="75"/>
      <c r="L44" s="64"/>
      <c r="M44" s="74"/>
      <c r="N44" s="74"/>
      <c r="O44" s="75"/>
      <c r="P44" s="74"/>
      <c r="Q44" s="64"/>
      <c r="R44" s="74"/>
      <c r="S44" s="74"/>
      <c r="T44" s="75"/>
      <c r="U44" s="75"/>
      <c r="V44" s="64"/>
      <c r="W44" s="74"/>
      <c r="X44" s="74"/>
      <c r="Y44" s="74"/>
      <c r="Z44" s="75"/>
      <c r="AA44" s="64"/>
      <c r="AB44" s="74"/>
      <c r="AC44" s="74"/>
      <c r="AD44" s="74"/>
      <c r="AE44" s="75"/>
      <c r="AF44" s="64"/>
      <c r="AG44" s="74"/>
      <c r="AH44" s="74"/>
      <c r="AI44" s="74"/>
      <c r="AJ44" s="75"/>
      <c r="AK44" s="64"/>
      <c r="AL44" s="74"/>
      <c r="AM44" s="74"/>
      <c r="AN44" s="74"/>
      <c r="AO44" s="75"/>
      <c r="AP44" s="64"/>
      <c r="AQ44" s="74"/>
      <c r="AR44" s="74"/>
      <c r="AS44" s="74"/>
      <c r="AT44" s="75"/>
      <c r="AU44" s="64"/>
      <c r="AV44" s="74"/>
      <c r="AW44" s="74"/>
      <c r="AX44" s="74"/>
      <c r="AY44" s="75"/>
      <c r="AZ44" s="64"/>
      <c r="BA44" s="77"/>
    </row>
    <row r="45" spans="1:53" ht="12.6" customHeight="1">
      <c r="A45" s="69" t="s">
        <v>33</v>
      </c>
      <c r="B45" s="64">
        <v>0.5</v>
      </c>
      <c r="C45" s="74">
        <v>0.15</v>
      </c>
      <c r="D45" s="74">
        <v>0.17</v>
      </c>
      <c r="E45" s="74">
        <v>0.17</v>
      </c>
      <c r="F45" s="75">
        <f>G45-E45-D45-C45</f>
        <v>0.11999999999999991</v>
      </c>
      <c r="G45" s="64">
        <v>0.61</v>
      </c>
      <c r="H45" s="74">
        <v>0.23</v>
      </c>
      <c r="I45" s="74">
        <v>0.2</v>
      </c>
      <c r="J45" s="74">
        <v>0.79</v>
      </c>
      <c r="K45" s="75">
        <f>L45-J45-I45-H45</f>
        <v>0.12209418646577999</v>
      </c>
      <c r="L45" s="64">
        <f>3603029/2684632</f>
        <v>1.34209418646578</v>
      </c>
      <c r="M45" s="74">
        <f>648428321/2709646450</f>
        <v>0.23930366302954395</v>
      </c>
      <c r="N45" s="74">
        <v>0.24</v>
      </c>
      <c r="O45" s="74">
        <v>0.22</v>
      </c>
      <c r="P45" s="74">
        <v>0.21</v>
      </c>
      <c r="Q45" s="64">
        <v>0.9</v>
      </c>
      <c r="R45" s="74">
        <v>0.15</v>
      </c>
      <c r="S45" s="74">
        <v>0.21</v>
      </c>
      <c r="T45" s="74">
        <v>0.2</v>
      </c>
      <c r="U45" s="75">
        <v>0.19</v>
      </c>
      <c r="V45" s="64">
        <v>0.76</v>
      </c>
      <c r="W45" s="74">
        <v>0.21</v>
      </c>
      <c r="X45" s="74">
        <v>0.15</v>
      </c>
      <c r="Y45" s="74">
        <v>0.13</v>
      </c>
      <c r="Z45" s="75">
        <f>AA45-Y45-X45-W45</f>
        <v>0.19000000000000003</v>
      </c>
      <c r="AA45" s="64">
        <v>0.68</v>
      </c>
      <c r="AB45" s="74">
        <v>0.18</v>
      </c>
      <c r="AC45" s="74">
        <v>0.17</v>
      </c>
      <c r="AD45" s="74">
        <v>0.16</v>
      </c>
      <c r="AE45" s="75">
        <v>0.13</v>
      </c>
      <c r="AF45" s="64">
        <v>0.65</v>
      </c>
      <c r="AG45" s="74">
        <v>0.17</v>
      </c>
      <c r="AH45" s="74">
        <v>0.28999999999999998</v>
      </c>
      <c r="AI45" s="74">
        <v>0.16</v>
      </c>
      <c r="AJ45" s="75">
        <f>AK45-AI45-AH45-AG45</f>
        <v>0.15</v>
      </c>
      <c r="AK45" s="64">
        <v>0.77</v>
      </c>
      <c r="AL45" s="74">
        <v>0.17</v>
      </c>
      <c r="AM45" s="74">
        <v>0.17</v>
      </c>
      <c r="AN45" s="74">
        <v>0.15</v>
      </c>
      <c r="AO45" s="75">
        <v>0.12999999999999992</v>
      </c>
      <c r="AP45" s="64">
        <v>0.62</v>
      </c>
      <c r="AQ45" s="74">
        <v>0.1</v>
      </c>
      <c r="AR45" s="74">
        <v>0.14000000000000001</v>
      </c>
      <c r="AS45" s="74">
        <v>0.14000000000000001</v>
      </c>
      <c r="AT45" s="75">
        <v>6.9999999999999979E-2</v>
      </c>
      <c r="AU45" s="64">
        <v>0.45</v>
      </c>
      <c r="AV45" s="74">
        <v>0.13</v>
      </c>
      <c r="AW45" s="74">
        <v>0.13</v>
      </c>
      <c r="AX45" s="74">
        <v>0.12</v>
      </c>
      <c r="AY45" s="75">
        <v>7.0000000000000007E-2</v>
      </c>
      <c r="AZ45" s="64">
        <v>0.45</v>
      </c>
      <c r="BA45" s="74">
        <v>0.09</v>
      </c>
    </row>
    <row r="46" spans="1:53" hidden="1">
      <c r="A46" s="69" t="s">
        <v>35</v>
      </c>
      <c r="B46" s="65">
        <v>2605</v>
      </c>
      <c r="C46" s="76">
        <v>2605</v>
      </c>
      <c r="D46" s="76">
        <v>2605</v>
      </c>
      <c r="E46" s="76">
        <v>2605</v>
      </c>
      <c r="F46" s="76">
        <v>2605</v>
      </c>
      <c r="G46" s="65">
        <v>2605</v>
      </c>
      <c r="H46" s="76">
        <v>2605.6669999999999</v>
      </c>
      <c r="I46" s="76">
        <v>2616.77</v>
      </c>
      <c r="J46" s="76">
        <v>2628</v>
      </c>
      <c r="K46" s="76">
        <v>2657</v>
      </c>
      <c r="L46" s="65">
        <v>2635.4960000000001</v>
      </c>
      <c r="M46" s="76">
        <v>2663.427674</v>
      </c>
      <c r="N46" s="76">
        <v>2675.2443619999999</v>
      </c>
      <c r="O46" s="76">
        <v>2676.893313</v>
      </c>
      <c r="P46" s="76">
        <v>2682</v>
      </c>
      <c r="Q46" s="65">
        <v>2675</v>
      </c>
      <c r="R46" s="76">
        <v>2688.2785669999998</v>
      </c>
      <c r="S46" s="76">
        <v>2699</v>
      </c>
      <c r="T46" s="76">
        <v>2706</v>
      </c>
      <c r="U46" s="76">
        <v>2711</v>
      </c>
      <c r="V46" s="65">
        <v>2713.6277439999999</v>
      </c>
      <c r="W46" s="76">
        <v>2715</v>
      </c>
      <c r="X46" s="76">
        <v>2718</v>
      </c>
      <c r="Y46" s="76">
        <v>2721</v>
      </c>
      <c r="Z46" s="76">
        <v>2725</v>
      </c>
      <c r="AA46" s="65">
        <v>2720</v>
      </c>
      <c r="AB46" s="76">
        <v>2725</v>
      </c>
      <c r="AC46" s="76">
        <v>2725</v>
      </c>
      <c r="AD46" s="76">
        <v>2726</v>
      </c>
      <c r="AE46" s="76">
        <v>2729</v>
      </c>
      <c r="AF46" s="65">
        <v>2726</v>
      </c>
      <c r="AG46" s="76">
        <v>2731</v>
      </c>
      <c r="AH46" s="76">
        <v>2734</v>
      </c>
      <c r="AI46" s="76">
        <v>2737</v>
      </c>
      <c r="AJ46" s="76">
        <v>2741</v>
      </c>
      <c r="AK46" s="65">
        <v>2736</v>
      </c>
      <c r="AL46" s="76">
        <v>2744</v>
      </c>
      <c r="AM46" s="76">
        <v>2746</v>
      </c>
      <c r="AN46" s="76">
        <v>2750</v>
      </c>
      <c r="AO46" s="76">
        <v>2758</v>
      </c>
      <c r="AP46" s="65">
        <v>2750</v>
      </c>
      <c r="AQ46" s="76">
        <v>2765</v>
      </c>
      <c r="AR46" s="76">
        <v>2765</v>
      </c>
      <c r="AS46" s="76">
        <v>2765</v>
      </c>
      <c r="AT46" s="76">
        <v>2765</v>
      </c>
      <c r="AU46" s="65">
        <v>2765</v>
      </c>
      <c r="AV46" s="76">
        <v>2765</v>
      </c>
      <c r="AW46" s="76">
        <v>2765</v>
      </c>
      <c r="AX46" s="76">
        <v>2765</v>
      </c>
      <c r="AY46" s="76">
        <v>2765</v>
      </c>
      <c r="AZ46" s="65"/>
      <c r="BA46" s="76">
        <v>2765</v>
      </c>
    </row>
    <row r="47" spans="1:53">
      <c r="A47" s="69" t="s">
        <v>34</v>
      </c>
      <c r="B47" s="65">
        <v>2641</v>
      </c>
      <c r="C47" s="76">
        <v>2649</v>
      </c>
      <c r="D47" s="76">
        <v>2648</v>
      </c>
      <c r="E47" s="76">
        <v>2648</v>
      </c>
      <c r="F47" s="76">
        <v>2649</v>
      </c>
      <c r="G47" s="65">
        <v>2649</v>
      </c>
      <c r="H47" s="76">
        <v>2646.8939999999998</v>
      </c>
      <c r="I47" s="76">
        <v>2666.6060000000002</v>
      </c>
      <c r="J47" s="76">
        <v>2677</v>
      </c>
      <c r="K47" s="76">
        <v>2702</v>
      </c>
      <c r="L47" s="65">
        <v>2684.6320000000001</v>
      </c>
      <c r="M47" s="76">
        <v>2709.6464500000002</v>
      </c>
      <c r="N47" s="76">
        <v>2712.6721739999998</v>
      </c>
      <c r="O47" s="76">
        <v>2714.7899040000002</v>
      </c>
      <c r="P47" s="76">
        <v>2720</v>
      </c>
      <c r="Q47" s="65">
        <v>2717</v>
      </c>
      <c r="R47" s="76">
        <v>2722.1732790000001</v>
      </c>
      <c r="S47" s="76">
        <v>2724</v>
      </c>
      <c r="T47" s="76">
        <v>2724</v>
      </c>
      <c r="U47" s="76">
        <v>2725</v>
      </c>
      <c r="V47" s="65">
        <v>2725</v>
      </c>
      <c r="W47" s="76">
        <v>2727</v>
      </c>
      <c r="X47" s="76">
        <v>2724</v>
      </c>
      <c r="Y47" s="76">
        <v>2725</v>
      </c>
      <c r="Z47" s="76">
        <v>2726</v>
      </c>
      <c r="AA47" s="65">
        <v>2726</v>
      </c>
      <c r="AB47" s="76">
        <v>2726</v>
      </c>
      <c r="AC47" s="76">
        <v>2729</v>
      </c>
      <c r="AD47" s="76">
        <v>2743</v>
      </c>
      <c r="AE47" s="76">
        <v>2749</v>
      </c>
      <c r="AF47" s="65">
        <v>2741</v>
      </c>
      <c r="AG47" s="76">
        <v>2749</v>
      </c>
      <c r="AH47" s="76">
        <v>2752</v>
      </c>
      <c r="AI47" s="76">
        <v>2755</v>
      </c>
      <c r="AJ47" s="76">
        <v>2761</v>
      </c>
      <c r="AK47" s="65">
        <v>2755</v>
      </c>
      <c r="AL47" s="76">
        <v>2759</v>
      </c>
      <c r="AM47" s="76">
        <v>2759</v>
      </c>
      <c r="AN47" s="76">
        <v>2762</v>
      </c>
      <c r="AO47" s="76">
        <v>2764</v>
      </c>
      <c r="AP47" s="65">
        <v>2763</v>
      </c>
      <c r="AQ47" s="76">
        <v>2765</v>
      </c>
      <c r="AR47" s="76">
        <v>2765</v>
      </c>
      <c r="AS47" s="76">
        <v>2765</v>
      </c>
      <c r="AT47" s="76">
        <v>2765</v>
      </c>
      <c r="AU47" s="65">
        <v>2765</v>
      </c>
      <c r="AV47" s="76">
        <v>2765</v>
      </c>
      <c r="AW47" s="76">
        <v>2765</v>
      </c>
      <c r="AX47" s="76">
        <v>2765</v>
      </c>
      <c r="AY47" s="76">
        <v>2765</v>
      </c>
      <c r="AZ47" s="65">
        <v>2765</v>
      </c>
      <c r="BA47" s="76">
        <v>2765</v>
      </c>
    </row>
    <row r="48" spans="1:53" ht="13.5" customHeight="1">
      <c r="A48" s="40" t="s">
        <v>141</v>
      </c>
      <c r="B48" s="40"/>
      <c r="C48" s="42"/>
      <c r="D48" s="42"/>
      <c r="E48" s="42"/>
      <c r="F48" s="42"/>
      <c r="G48" s="42"/>
      <c r="H48" s="42"/>
      <c r="I48" s="42"/>
      <c r="J48" s="42"/>
      <c r="K48" s="42"/>
      <c r="L48" s="42"/>
      <c r="M48" s="42"/>
      <c r="N48" s="42"/>
      <c r="O48" s="42"/>
      <c r="P48" s="42"/>
      <c r="Q48" s="42"/>
      <c r="R48" s="42"/>
      <c r="S48" s="42"/>
      <c r="T48" s="42"/>
      <c r="U48" s="42"/>
      <c r="V48" s="42"/>
      <c r="W48" s="42"/>
      <c r="X48" s="42"/>
      <c r="Y48" s="42"/>
      <c r="Z48" s="42"/>
      <c r="AA48" s="42"/>
      <c r="AB48" s="42"/>
      <c r="AC48" s="42"/>
      <c r="AD48" s="42"/>
      <c r="AE48" s="42"/>
      <c r="AF48" s="42"/>
      <c r="AG48" s="42"/>
      <c r="AH48" s="42"/>
      <c r="AI48" s="42"/>
      <c r="AJ48" s="42"/>
      <c r="AK48" s="42"/>
      <c r="AL48" s="42"/>
      <c r="AM48" s="42"/>
      <c r="AN48" s="42"/>
      <c r="AO48" s="42"/>
      <c r="AP48" s="42"/>
      <c r="AQ48" s="42"/>
      <c r="AR48" s="42"/>
      <c r="AS48" s="42"/>
      <c r="AT48" s="42"/>
      <c r="AU48" s="42"/>
      <c r="AV48" s="42"/>
      <c r="AW48" s="42"/>
      <c r="AX48" s="42"/>
      <c r="AY48" s="42"/>
      <c r="AZ48" s="42"/>
      <c r="BA48" s="42"/>
    </row>
    <row r="49" spans="1:53" ht="13.5" customHeight="1">
      <c r="A49" s="69" t="s">
        <v>103</v>
      </c>
      <c r="B49" s="65">
        <v>5075</v>
      </c>
      <c r="C49" s="80" t="s">
        <v>53</v>
      </c>
      <c r="D49" s="80" t="s">
        <v>53</v>
      </c>
      <c r="E49" s="80" t="s">
        <v>53</v>
      </c>
      <c r="F49" s="80" t="s">
        <v>53</v>
      </c>
      <c r="G49" s="65">
        <v>4660</v>
      </c>
      <c r="H49" s="120" t="s">
        <v>45</v>
      </c>
      <c r="I49" s="120" t="s">
        <v>45</v>
      </c>
      <c r="J49" s="120" t="s">
        <v>45</v>
      </c>
      <c r="K49" s="120" t="s">
        <v>45</v>
      </c>
      <c r="L49" s="65">
        <f>L52+L55+L58+L61+L64+L67+L70+ L73</f>
        <v>4871</v>
      </c>
      <c r="M49" s="70">
        <v>1218</v>
      </c>
      <c r="N49" s="70">
        <v>1224</v>
      </c>
      <c r="O49" s="70">
        <v>1271</v>
      </c>
      <c r="P49" s="70">
        <f>Q49-O49-N49-M49</f>
        <v>1313</v>
      </c>
      <c r="Q49" s="65">
        <f>Q52+Q55+Q58+Q61+Q64+Q67+Q70+ Q73</f>
        <v>5026</v>
      </c>
      <c r="R49" s="70">
        <v>1218</v>
      </c>
      <c r="S49" s="70">
        <v>1224</v>
      </c>
      <c r="T49" s="70">
        <v>1271</v>
      </c>
      <c r="U49" s="70">
        <f>V49-T49-S49-R49</f>
        <v>781</v>
      </c>
      <c r="V49" s="65">
        <f>V52+V55+V58+V61+V64+V67+V70+ V73</f>
        <v>4494</v>
      </c>
      <c r="W49" s="70">
        <v>1218</v>
      </c>
      <c r="X49" s="70">
        <v>1224</v>
      </c>
      <c r="Y49" s="70">
        <v>1271</v>
      </c>
      <c r="Z49" s="70">
        <f>AA49-Y49-X49-W49</f>
        <v>240</v>
      </c>
      <c r="AA49" s="65">
        <f>AA52+AA55+AA58+AA61+AA64+AA67+AA70+ AA73</f>
        <v>3953</v>
      </c>
      <c r="AB49" s="70">
        <v>1218</v>
      </c>
      <c r="AC49" s="70">
        <v>1224</v>
      </c>
      <c r="AD49" s="70">
        <v>1271</v>
      </c>
      <c r="AE49" s="70">
        <f>AF49-AD49-AC49-AB49</f>
        <v>-137</v>
      </c>
      <c r="AF49" s="65">
        <f>AF52+AF55+AF58+AF61+AF64+AF67+AF70+ AF73</f>
        <v>3576</v>
      </c>
      <c r="AG49" s="70">
        <v>1218</v>
      </c>
      <c r="AH49" s="70">
        <v>1224</v>
      </c>
      <c r="AI49" s="70">
        <v>1271</v>
      </c>
      <c r="AJ49" s="70">
        <f>AK49-AI49-AH49-AG49</f>
        <v>-347</v>
      </c>
      <c r="AK49" s="65">
        <v>3366</v>
      </c>
      <c r="AL49" s="70">
        <v>799</v>
      </c>
      <c r="AM49" s="70">
        <v>1002</v>
      </c>
      <c r="AN49" s="70">
        <v>1000</v>
      </c>
      <c r="AO49" s="70">
        <v>1068</v>
      </c>
      <c r="AP49" s="65">
        <v>3869</v>
      </c>
      <c r="AQ49" s="70">
        <v>1018</v>
      </c>
      <c r="AR49" s="70">
        <v>972</v>
      </c>
      <c r="AS49" s="70">
        <v>994</v>
      </c>
      <c r="AT49" s="70">
        <v>1028</v>
      </c>
      <c r="AU49" s="65">
        <v>4012</v>
      </c>
      <c r="AV49" s="70">
        <v>959</v>
      </c>
      <c r="AW49" s="70">
        <v>973</v>
      </c>
      <c r="AX49" s="70">
        <v>956</v>
      </c>
      <c r="AY49" s="70">
        <v>1003</v>
      </c>
      <c r="AZ49" s="65">
        <v>3891</v>
      </c>
      <c r="BA49" s="70">
        <v>841</v>
      </c>
    </row>
    <row r="50" spans="1:53" ht="10.5" customHeight="1">
      <c r="A50" s="71" t="s">
        <v>7</v>
      </c>
      <c r="B50" s="24"/>
      <c r="C50" s="73"/>
      <c r="D50" s="73"/>
      <c r="E50" s="73"/>
      <c r="F50" s="73"/>
      <c r="G50" s="24"/>
      <c r="H50" s="73"/>
      <c r="I50" s="73"/>
      <c r="J50" s="73"/>
      <c r="K50" s="73"/>
      <c r="L50" s="24"/>
      <c r="M50" s="73"/>
      <c r="N50" s="72">
        <f>N49/M49-1</f>
        <v>4.9261083743843415E-3</v>
      </c>
      <c r="O50" s="72">
        <f>O49/N49-1</f>
        <v>3.8398692810457602E-2</v>
      </c>
      <c r="P50" s="72">
        <f>P49/O49-1</f>
        <v>3.3044846577497955E-2</v>
      </c>
      <c r="Q50" s="24"/>
      <c r="R50" s="72">
        <f>R49/P49-1</f>
        <v>-7.2353389185072392E-2</v>
      </c>
      <c r="S50" s="72">
        <f>S49/R49-1</f>
        <v>4.9261083743843415E-3</v>
      </c>
      <c r="T50" s="72">
        <f>T49/S49-1</f>
        <v>3.8398692810457602E-2</v>
      </c>
      <c r="U50" s="72">
        <f>U49/T49-1</f>
        <v>-0.38552321007081036</v>
      </c>
      <c r="V50" s="24"/>
      <c r="W50" s="72">
        <f>W49/U49-1</f>
        <v>0.55953905249679892</v>
      </c>
      <c r="X50" s="72">
        <f>X49/W49-1</f>
        <v>4.9261083743843415E-3</v>
      </c>
      <c r="Y50" s="72">
        <f>Y49/X49-1</f>
        <v>3.8398692810457602E-2</v>
      </c>
      <c r="Z50" s="72">
        <f>Z49/Y49-1</f>
        <v>-0.8111723052714398</v>
      </c>
      <c r="AA50" s="24"/>
      <c r="AB50" s="72">
        <f>AB49/Z49-1</f>
        <v>4.0750000000000002</v>
      </c>
      <c r="AC50" s="72">
        <f>AC49/AB49-1</f>
        <v>4.9261083743843415E-3</v>
      </c>
      <c r="AD50" s="72">
        <f>AD49/AC49-1</f>
        <v>3.8398692810457602E-2</v>
      </c>
      <c r="AE50" s="72">
        <f>AE49/AD49-1</f>
        <v>-1.1077891424075532</v>
      </c>
      <c r="AF50" s="24"/>
      <c r="AG50" s="72">
        <f>AG49/AE49-1</f>
        <v>-9.89051094890511</v>
      </c>
      <c r="AH50" s="72">
        <f>AH49/AG49-1</f>
        <v>4.9261083743843415E-3</v>
      </c>
      <c r="AI50" s="72">
        <f>AI49/AH49-1</f>
        <v>3.8398692810457602E-2</v>
      </c>
      <c r="AJ50" s="72">
        <f>AJ49/AI49-1</f>
        <v>-1.2730133752950432</v>
      </c>
      <c r="AK50" s="24"/>
      <c r="AL50" s="72">
        <v>-3.3025936599423633</v>
      </c>
      <c r="AM50" s="72">
        <v>0.25406758448060085</v>
      </c>
      <c r="AN50" s="72">
        <v>-1.9960079840319889E-3</v>
      </c>
      <c r="AO50" s="72">
        <v>6.800000000000006E-2</v>
      </c>
      <c r="AP50" s="24"/>
      <c r="AQ50" s="72">
        <v>-4.6816479400749067E-2</v>
      </c>
      <c r="AR50" s="72">
        <v>-4.5186640471512773E-2</v>
      </c>
      <c r="AS50" s="72">
        <v>2.2633744855967031E-2</v>
      </c>
      <c r="AT50" s="72">
        <v>3.4205231388329871E-2</v>
      </c>
      <c r="AU50" s="24"/>
      <c r="AV50" s="72">
        <v>-6.7120622568093369E-2</v>
      </c>
      <c r="AW50" s="72">
        <v>1.4598540145985384E-2</v>
      </c>
      <c r="AX50" s="72">
        <v>-1.7471736896197299E-2</v>
      </c>
      <c r="AY50" s="72">
        <v>4.9163179916317912E-2</v>
      </c>
      <c r="AZ50" s="24"/>
      <c r="BA50" s="72">
        <v>-0.16151545363908271</v>
      </c>
    </row>
    <row r="51" spans="1:53" ht="14.1" customHeight="1">
      <c r="A51" s="71" t="s">
        <v>8</v>
      </c>
      <c r="B51" s="24"/>
      <c r="C51" s="73"/>
      <c r="D51" s="73"/>
      <c r="E51" s="73"/>
      <c r="F51" s="73"/>
      <c r="G51" s="24">
        <f>G49/B49-1</f>
        <v>-8.1773399014778314E-2</v>
      </c>
      <c r="H51" s="73"/>
      <c r="I51" s="73"/>
      <c r="J51" s="73"/>
      <c r="K51" s="73"/>
      <c r="L51" s="24">
        <f>L49/G49-1</f>
        <v>4.5278969957081472E-2</v>
      </c>
      <c r="M51" s="73"/>
      <c r="N51" s="73"/>
      <c r="O51" s="73"/>
      <c r="P51" s="73"/>
      <c r="Q51" s="24">
        <f t="shared" ref="Q51:AA51" si="81">Q49/L49-1</f>
        <v>3.1820981318004593E-2</v>
      </c>
      <c r="R51" s="73">
        <f t="shared" si="81"/>
        <v>0</v>
      </c>
      <c r="S51" s="73">
        <f t="shared" si="81"/>
        <v>0</v>
      </c>
      <c r="T51" s="73">
        <f t="shared" si="81"/>
        <v>0</v>
      </c>
      <c r="U51" s="73">
        <f t="shared" si="81"/>
        <v>-0.40517897943640513</v>
      </c>
      <c r="V51" s="24">
        <f t="shared" si="81"/>
        <v>-0.10584958217270191</v>
      </c>
      <c r="W51" s="73">
        <f t="shared" si="81"/>
        <v>0</v>
      </c>
      <c r="X51" s="73">
        <f t="shared" si="81"/>
        <v>0</v>
      </c>
      <c r="Y51" s="73">
        <f t="shared" si="81"/>
        <v>0</v>
      </c>
      <c r="Z51" s="73">
        <f t="shared" si="81"/>
        <v>-0.69270166453265047</v>
      </c>
      <c r="AA51" s="24">
        <f t="shared" si="81"/>
        <v>-0.12038273253226528</v>
      </c>
      <c r="AB51" s="73">
        <f>AB49/R49-1</f>
        <v>0</v>
      </c>
      <c r="AC51" s="73">
        <f t="shared" ref="AC51:AI51" si="82">AC49/X49-1</f>
        <v>0</v>
      </c>
      <c r="AD51" s="73">
        <f t="shared" si="82"/>
        <v>0</v>
      </c>
      <c r="AE51" s="73">
        <f t="shared" si="82"/>
        <v>-1.5708333333333333</v>
      </c>
      <c r="AF51" s="24">
        <f t="shared" si="82"/>
        <v>-9.5370604604098186E-2</v>
      </c>
      <c r="AG51" s="73">
        <f t="shared" si="82"/>
        <v>0</v>
      </c>
      <c r="AH51" s="73">
        <f t="shared" si="82"/>
        <v>0</v>
      </c>
      <c r="AI51" s="73">
        <f t="shared" si="82"/>
        <v>0</v>
      </c>
      <c r="AJ51" s="73">
        <f t="shared" ref="AJ51:AS51" si="83">AJ49/AE49-1</f>
        <v>1.5328467153284673</v>
      </c>
      <c r="AK51" s="24">
        <v>-5.8724832214765099E-2</v>
      </c>
      <c r="AL51" s="73">
        <v>-0.34400656814449915</v>
      </c>
      <c r="AM51" s="73">
        <v>-0.18137254901960786</v>
      </c>
      <c r="AN51" s="73">
        <v>-0.21321793863099925</v>
      </c>
      <c r="AO51" s="73">
        <v>-4.0778097982708932</v>
      </c>
      <c r="AP51" s="24">
        <v>0.14943553178847302</v>
      </c>
      <c r="AQ51" s="73">
        <v>0.27409261576971211</v>
      </c>
      <c r="AR51" s="73">
        <v>-2.9940119760479056E-2</v>
      </c>
      <c r="AS51" s="73">
        <v>-6.0000000000000053E-3</v>
      </c>
      <c r="AT51" s="73">
        <v>-3.7453183520599231E-2</v>
      </c>
      <c r="AU51" s="24">
        <v>3.6960454897906336E-2</v>
      </c>
      <c r="AV51" s="73">
        <v>-5.7956777996070685E-2</v>
      </c>
      <c r="AW51" s="73">
        <v>1.0288065843622185E-3</v>
      </c>
      <c r="AX51" s="73">
        <v>-3.82293762575453E-2</v>
      </c>
      <c r="AY51" s="73">
        <v>-2.4319066147859947E-2</v>
      </c>
      <c r="AZ51" s="24">
        <v>-3.0159521435692893E-2</v>
      </c>
      <c r="BA51" s="73">
        <v>-0.12304483837330549</v>
      </c>
    </row>
    <row r="52" spans="1:53" ht="13.5" customHeight="1">
      <c r="A52" s="69" t="s">
        <v>93</v>
      </c>
      <c r="B52" s="123" t="s">
        <v>45</v>
      </c>
      <c r="C52" s="80" t="s">
        <v>53</v>
      </c>
      <c r="D52" s="80" t="s">
        <v>53</v>
      </c>
      <c r="E52" s="80" t="s">
        <v>53</v>
      </c>
      <c r="F52" s="80" t="s">
        <v>53</v>
      </c>
      <c r="G52" s="123" t="s">
        <v>45</v>
      </c>
      <c r="H52" s="80" t="s">
        <v>53</v>
      </c>
      <c r="I52" s="80" t="s">
        <v>53</v>
      </c>
      <c r="J52" s="80" t="s">
        <v>53</v>
      </c>
      <c r="K52" s="80" t="s">
        <v>53</v>
      </c>
      <c r="L52" s="65">
        <v>1163</v>
      </c>
      <c r="M52" s="80" t="s">
        <v>53</v>
      </c>
      <c r="N52" s="80" t="s">
        <v>53</v>
      </c>
      <c r="O52" s="80" t="s">
        <v>53</v>
      </c>
      <c r="P52" s="80" t="s">
        <v>53</v>
      </c>
      <c r="Q52" s="65">
        <v>1225</v>
      </c>
      <c r="R52" s="70">
        <v>430</v>
      </c>
      <c r="S52" s="70">
        <v>443</v>
      </c>
      <c r="T52" s="70">
        <v>454</v>
      </c>
      <c r="U52" s="70">
        <f>V52-T52-S52-R52</f>
        <v>366</v>
      </c>
      <c r="V52" s="65">
        <v>1693</v>
      </c>
      <c r="W52" s="70">
        <v>379</v>
      </c>
      <c r="X52" s="70">
        <v>293</v>
      </c>
      <c r="Y52" s="70">
        <v>285</v>
      </c>
      <c r="Z52" s="70">
        <f>AA52-Y52-X52-W52</f>
        <v>306</v>
      </c>
      <c r="AA52" s="65">
        <v>1263</v>
      </c>
      <c r="AB52" s="70">
        <v>258</v>
      </c>
      <c r="AC52" s="70">
        <v>247</v>
      </c>
      <c r="AD52" s="70">
        <v>264</v>
      </c>
      <c r="AE52" s="70">
        <f>AF52-AD52-AC52-AB52</f>
        <v>302</v>
      </c>
      <c r="AF52" s="65">
        <v>1071</v>
      </c>
      <c r="AG52" s="70">
        <v>262</v>
      </c>
      <c r="AH52" s="70">
        <v>212</v>
      </c>
      <c r="AI52" s="70">
        <v>200</v>
      </c>
      <c r="AJ52" s="70">
        <f>AK52-AI52-AH52-AG52</f>
        <v>254</v>
      </c>
      <c r="AK52" s="65">
        <v>928</v>
      </c>
      <c r="AL52" s="70">
        <v>226</v>
      </c>
      <c r="AM52" s="70">
        <v>205</v>
      </c>
      <c r="AN52" s="70">
        <v>193</v>
      </c>
      <c r="AO52" s="70">
        <v>256</v>
      </c>
      <c r="AP52" s="65">
        <v>880</v>
      </c>
      <c r="AQ52" s="70">
        <v>216</v>
      </c>
      <c r="AR52" s="70">
        <v>201</v>
      </c>
      <c r="AS52" s="70">
        <v>177</v>
      </c>
      <c r="AT52" s="70">
        <v>237</v>
      </c>
      <c r="AU52" s="65">
        <v>831</v>
      </c>
      <c r="AV52" s="70">
        <v>202</v>
      </c>
      <c r="AW52" s="70">
        <v>230</v>
      </c>
      <c r="AX52" s="70">
        <v>181</v>
      </c>
      <c r="AY52" s="70">
        <v>242</v>
      </c>
      <c r="AZ52" s="65">
        <v>855</v>
      </c>
      <c r="BA52" s="70">
        <v>189</v>
      </c>
    </row>
    <row r="53" spans="1:53" ht="10.15" customHeight="1">
      <c r="A53" s="71" t="s">
        <v>7</v>
      </c>
      <c r="B53" s="24"/>
      <c r="C53" s="95"/>
      <c r="D53" s="95"/>
      <c r="E53" s="95"/>
      <c r="F53" s="95"/>
      <c r="G53" s="24"/>
      <c r="H53" s="95"/>
      <c r="I53" s="95"/>
      <c r="J53" s="95"/>
      <c r="K53" s="95"/>
      <c r="L53" s="24"/>
      <c r="M53" s="95"/>
      <c r="N53" s="95"/>
      <c r="O53" s="95"/>
      <c r="P53" s="95"/>
      <c r="Q53" s="24"/>
      <c r="R53" s="72"/>
      <c r="S53" s="72">
        <f>S52/R52-1</f>
        <v>3.0232558139534849E-2</v>
      </c>
      <c r="T53" s="72">
        <f>T52/S52-1</f>
        <v>2.483069977426644E-2</v>
      </c>
      <c r="U53" s="72">
        <f>U52/T52-1</f>
        <v>-0.19383259911894268</v>
      </c>
      <c r="V53" s="24"/>
      <c r="W53" s="72">
        <f>W52/U52-1</f>
        <v>3.5519125683060038E-2</v>
      </c>
      <c r="X53" s="72">
        <f>X52/W52-1</f>
        <v>-0.22691292875989444</v>
      </c>
      <c r="Y53" s="72">
        <f>Y52/X52-1</f>
        <v>-2.7303754266211566E-2</v>
      </c>
      <c r="Z53" s="72">
        <f>Z52/Y52-1</f>
        <v>7.3684210526315796E-2</v>
      </c>
      <c r="AA53" s="24"/>
      <c r="AB53" s="72">
        <f>AB52/Z52-1</f>
        <v>-0.15686274509803921</v>
      </c>
      <c r="AC53" s="72">
        <f>AC52/AB52-1</f>
        <v>-4.2635658914728647E-2</v>
      </c>
      <c r="AD53" s="72">
        <f>AD52/AC52-1</f>
        <v>6.8825910931174183E-2</v>
      </c>
      <c r="AE53" s="72">
        <f>AE52/AD52-1</f>
        <v>0.14393939393939403</v>
      </c>
      <c r="AF53" s="24"/>
      <c r="AG53" s="72">
        <f>AG52/AE52-1</f>
        <v>-0.13245033112582782</v>
      </c>
      <c r="AH53" s="72">
        <f>AH52/AG52-1</f>
        <v>-0.19083969465648853</v>
      </c>
      <c r="AI53" s="72">
        <f>AI52/AH52-1</f>
        <v>-5.6603773584905648E-2</v>
      </c>
      <c r="AJ53" s="72">
        <f>AJ52/AI52-1</f>
        <v>0.27</v>
      </c>
      <c r="AK53" s="24"/>
      <c r="AL53" s="72">
        <v>-0.11023622047244097</v>
      </c>
      <c r="AM53" s="72">
        <v>-9.2920353982300918E-2</v>
      </c>
      <c r="AN53" s="72">
        <v>-5.8536585365853711E-2</v>
      </c>
      <c r="AO53" s="72">
        <v>0.32642487046632129</v>
      </c>
      <c r="AP53" s="24"/>
      <c r="AQ53" s="72">
        <v>-0.15625</v>
      </c>
      <c r="AR53" s="72">
        <v>-6.944444444444442E-2</v>
      </c>
      <c r="AS53" s="72">
        <v>-0.11940298507462688</v>
      </c>
      <c r="AT53" s="72">
        <v>0.33898305084745761</v>
      </c>
      <c r="AU53" s="24"/>
      <c r="AV53" s="72">
        <v>-0.14767932489451474</v>
      </c>
      <c r="AW53" s="72">
        <v>0.13861386138613851</v>
      </c>
      <c r="AX53" s="72">
        <v>-0.21304347826086956</v>
      </c>
      <c r="AY53" s="72">
        <v>0.33701657458563528</v>
      </c>
      <c r="AZ53" s="24"/>
      <c r="BA53" s="72">
        <v>-0.21900826446280997</v>
      </c>
    </row>
    <row r="54" spans="1:53" ht="15.6" customHeight="1">
      <c r="A54" s="71" t="s">
        <v>8</v>
      </c>
      <c r="B54" s="24"/>
      <c r="C54" s="95"/>
      <c r="D54" s="95"/>
      <c r="E54" s="95"/>
      <c r="F54" s="95"/>
      <c r="G54" s="24"/>
      <c r="H54" s="95"/>
      <c r="I54" s="95"/>
      <c r="J54" s="95"/>
      <c r="K54" s="95"/>
      <c r="L54" s="24"/>
      <c r="M54" s="95"/>
      <c r="N54" s="95"/>
      <c r="O54" s="95"/>
      <c r="P54" s="95"/>
      <c r="Q54" s="24">
        <f>Q52/L52-1</f>
        <v>5.3310404127257183E-2</v>
      </c>
      <c r="R54" s="73"/>
      <c r="S54" s="73"/>
      <c r="T54" s="73"/>
      <c r="U54" s="73"/>
      <c r="V54" s="24">
        <f t="shared" ref="V54:AD54" si="84">V52/Q52-1</f>
        <v>0.38204081632653053</v>
      </c>
      <c r="W54" s="73">
        <f t="shared" si="84"/>
        <v>-0.11860465116279073</v>
      </c>
      <c r="X54" s="73">
        <f t="shared" si="84"/>
        <v>-0.33860045146726858</v>
      </c>
      <c r="Y54" s="73">
        <f t="shared" si="84"/>
        <v>-0.3722466960352423</v>
      </c>
      <c r="Z54" s="73">
        <f t="shared" si="84"/>
        <v>-0.16393442622950816</v>
      </c>
      <c r="AA54" s="24">
        <f t="shared" si="84"/>
        <v>-0.25398700531600704</v>
      </c>
      <c r="AB54" s="73">
        <f t="shared" si="84"/>
        <v>-0.31926121372031657</v>
      </c>
      <c r="AC54" s="73">
        <f t="shared" si="84"/>
        <v>-0.15699658703071673</v>
      </c>
      <c r="AD54" s="73">
        <f t="shared" si="84"/>
        <v>-7.3684210526315796E-2</v>
      </c>
      <c r="AE54" s="73">
        <f t="shared" ref="AE54:AN54" si="85">AE52/Z52-1</f>
        <v>-1.3071895424836555E-2</v>
      </c>
      <c r="AF54" s="24">
        <f t="shared" si="85"/>
        <v>-0.15201900237529686</v>
      </c>
      <c r="AG54" s="73">
        <f t="shared" si="85"/>
        <v>1.5503875968992276E-2</v>
      </c>
      <c r="AH54" s="73">
        <f t="shared" si="85"/>
        <v>-0.1417004048582996</v>
      </c>
      <c r="AI54" s="73">
        <f t="shared" si="85"/>
        <v>-0.24242424242424243</v>
      </c>
      <c r="AJ54" s="73">
        <f t="shared" si="85"/>
        <v>-0.15894039735099341</v>
      </c>
      <c r="AK54" s="24">
        <v>-0.13352007469654525</v>
      </c>
      <c r="AL54" s="73">
        <v>-0.13740458015267176</v>
      </c>
      <c r="AM54" s="73">
        <v>-3.301886792452835E-2</v>
      </c>
      <c r="AN54" s="73">
        <v>-3.5000000000000031E-2</v>
      </c>
      <c r="AO54" s="73">
        <v>7.8740157480314821E-3</v>
      </c>
      <c r="AP54" s="24">
        <v>-5.1724137931034475E-2</v>
      </c>
      <c r="AQ54" s="73">
        <v>-4.4247787610619427E-2</v>
      </c>
      <c r="AR54" s="73">
        <v>-1.9512195121951237E-2</v>
      </c>
      <c r="AS54" s="73">
        <v>-8.2901554404145039E-2</v>
      </c>
      <c r="AT54" s="73">
        <v>-7.421875E-2</v>
      </c>
      <c r="AU54" s="24">
        <v>-5.5681818181818166E-2</v>
      </c>
      <c r="AV54" s="73">
        <v>-6.481481481481477E-2</v>
      </c>
      <c r="AW54" s="73">
        <v>0.14427860696517403</v>
      </c>
      <c r="AX54" s="73">
        <v>2.2598870056497189E-2</v>
      </c>
      <c r="AY54" s="73">
        <v>2.1097046413502074E-2</v>
      </c>
      <c r="AZ54" s="24">
        <v>2.8880866425992746E-2</v>
      </c>
      <c r="BA54" s="73">
        <v>-6.4356435643564303E-2</v>
      </c>
    </row>
    <row r="55" spans="1:53" ht="13.5" customHeight="1">
      <c r="A55" s="69" t="s">
        <v>92</v>
      </c>
      <c r="B55" s="123" t="s">
        <v>45</v>
      </c>
      <c r="C55" s="80" t="s">
        <v>53</v>
      </c>
      <c r="D55" s="80" t="s">
        <v>53</v>
      </c>
      <c r="E55" s="80" t="s">
        <v>53</v>
      </c>
      <c r="F55" s="80" t="s">
        <v>53</v>
      </c>
      <c r="G55" s="123" t="s">
        <v>45</v>
      </c>
      <c r="H55" s="80" t="s">
        <v>53</v>
      </c>
      <c r="I55" s="80" t="s">
        <v>53</v>
      </c>
      <c r="J55" s="80" t="s">
        <v>53</v>
      </c>
      <c r="K55" s="80" t="s">
        <v>53</v>
      </c>
      <c r="L55" s="65">
        <v>1762</v>
      </c>
      <c r="M55" s="80" t="s">
        <v>53</v>
      </c>
      <c r="N55" s="80" t="s">
        <v>53</v>
      </c>
      <c r="O55" s="80" t="s">
        <v>53</v>
      </c>
      <c r="P55" s="80" t="s">
        <v>53</v>
      </c>
      <c r="Q55" s="65">
        <v>1876</v>
      </c>
      <c r="R55" s="70">
        <v>222</v>
      </c>
      <c r="S55" s="70">
        <v>224</v>
      </c>
      <c r="T55" s="70">
        <v>242</v>
      </c>
      <c r="U55" s="70">
        <f>V55-T55-S55-R55</f>
        <v>222</v>
      </c>
      <c r="V55" s="65">
        <v>910</v>
      </c>
      <c r="W55" s="70">
        <v>224</v>
      </c>
      <c r="X55" s="70">
        <v>222</v>
      </c>
      <c r="Y55" s="70">
        <v>229</v>
      </c>
      <c r="Z55" s="70">
        <f>AA55-Y55-X55-W55</f>
        <v>225</v>
      </c>
      <c r="AA55" s="65">
        <v>900</v>
      </c>
      <c r="AB55" s="70">
        <v>224</v>
      </c>
      <c r="AC55" s="70">
        <v>228</v>
      </c>
      <c r="AD55" s="70">
        <v>232</v>
      </c>
      <c r="AE55" s="70">
        <f>AF55-AD55-AC55-AB55</f>
        <v>221</v>
      </c>
      <c r="AF55" s="65">
        <v>905</v>
      </c>
      <c r="AG55" s="70">
        <v>206</v>
      </c>
      <c r="AH55" s="70">
        <v>208</v>
      </c>
      <c r="AI55" s="70">
        <v>219</v>
      </c>
      <c r="AJ55" s="70">
        <f>AK55-AI55-AH55-AG55</f>
        <v>214</v>
      </c>
      <c r="AK55" s="65">
        <v>847</v>
      </c>
      <c r="AL55" s="70">
        <v>212</v>
      </c>
      <c r="AM55" s="70">
        <v>241</v>
      </c>
      <c r="AN55" s="70">
        <v>236</v>
      </c>
      <c r="AO55" s="70">
        <v>220</v>
      </c>
      <c r="AP55" s="65">
        <v>909</v>
      </c>
      <c r="AQ55" s="70">
        <v>212</v>
      </c>
      <c r="AR55" s="70">
        <v>211</v>
      </c>
      <c r="AS55" s="70">
        <v>211</v>
      </c>
      <c r="AT55" s="70">
        <v>191</v>
      </c>
      <c r="AU55" s="65">
        <v>825</v>
      </c>
      <c r="AV55" s="70">
        <v>196</v>
      </c>
      <c r="AW55" s="70">
        <v>206</v>
      </c>
      <c r="AX55" s="70">
        <v>201</v>
      </c>
      <c r="AY55" s="70">
        <v>202</v>
      </c>
      <c r="AZ55" s="65">
        <v>805</v>
      </c>
      <c r="BA55" s="70">
        <v>192</v>
      </c>
    </row>
    <row r="56" spans="1:53" ht="10.15" customHeight="1">
      <c r="A56" s="71" t="s">
        <v>7</v>
      </c>
      <c r="B56" s="24"/>
      <c r="C56" s="95"/>
      <c r="D56" s="95"/>
      <c r="E56" s="95"/>
      <c r="F56" s="95"/>
      <c r="G56" s="24"/>
      <c r="H56" s="95"/>
      <c r="I56" s="95"/>
      <c r="J56" s="95"/>
      <c r="K56" s="95"/>
      <c r="L56" s="24"/>
      <c r="M56" s="95"/>
      <c r="N56" s="95"/>
      <c r="O56" s="95"/>
      <c r="P56" s="95"/>
      <c r="Q56" s="24"/>
      <c r="R56" s="72"/>
      <c r="S56" s="72">
        <f>S55/R55-1</f>
        <v>9.009009009008917E-3</v>
      </c>
      <c r="T56" s="72">
        <f>T55/S55-1</f>
        <v>8.0357142857142794E-2</v>
      </c>
      <c r="U56" s="72">
        <f>U55/T55-1</f>
        <v>-8.2644628099173501E-2</v>
      </c>
      <c r="V56" s="24"/>
      <c r="W56" s="72">
        <f>W55/U55-1</f>
        <v>9.009009009008917E-3</v>
      </c>
      <c r="X56" s="72">
        <f>X55/W55-1</f>
        <v>-8.9285714285713969E-3</v>
      </c>
      <c r="Y56" s="72">
        <f>Y55/X55-1</f>
        <v>3.1531531531531432E-2</v>
      </c>
      <c r="Z56" s="72">
        <f>Z55/Y55-1</f>
        <v>-1.7467248908296984E-2</v>
      </c>
      <c r="AA56" s="24"/>
      <c r="AB56" s="72">
        <f>AB55/Z55-1</f>
        <v>-4.4444444444444731E-3</v>
      </c>
      <c r="AC56" s="72">
        <f>AC55/AB55-1</f>
        <v>1.7857142857142794E-2</v>
      </c>
      <c r="AD56" s="72">
        <f>AD55/AC55-1</f>
        <v>1.7543859649122862E-2</v>
      </c>
      <c r="AE56" s="72">
        <f>AE55/AD55-1</f>
        <v>-4.7413793103448287E-2</v>
      </c>
      <c r="AF56" s="24"/>
      <c r="AG56" s="72">
        <f>AG55/AE55-1</f>
        <v>-6.7873303167420795E-2</v>
      </c>
      <c r="AH56" s="72">
        <f>AH55/AG55-1</f>
        <v>9.7087378640776656E-3</v>
      </c>
      <c r="AI56" s="72">
        <f>AI55/AH55-1</f>
        <v>5.2884615384615419E-2</v>
      </c>
      <c r="AJ56" s="72">
        <f>AJ55/AI55-1</f>
        <v>-2.2831050228310557E-2</v>
      </c>
      <c r="AK56" s="24"/>
      <c r="AL56" s="72">
        <v>-9.3457943925233655E-3</v>
      </c>
      <c r="AM56" s="72">
        <v>0.1367924528301887</v>
      </c>
      <c r="AN56" s="72">
        <v>-2.0746887966805017E-2</v>
      </c>
      <c r="AO56" s="72">
        <v>-6.7796610169491567E-2</v>
      </c>
      <c r="AP56" s="24"/>
      <c r="AQ56" s="72">
        <v>-3.6363636363636376E-2</v>
      </c>
      <c r="AR56" s="72">
        <v>-4.7169811320755262E-3</v>
      </c>
      <c r="AS56" s="72">
        <v>0</v>
      </c>
      <c r="AT56" s="72">
        <v>-9.4786729857819885E-2</v>
      </c>
      <c r="AU56" s="24"/>
      <c r="AV56" s="72">
        <v>2.6178010471204161E-2</v>
      </c>
      <c r="AW56" s="72">
        <v>5.1020408163265252E-2</v>
      </c>
      <c r="AX56" s="72">
        <v>-2.4271844660194164E-2</v>
      </c>
      <c r="AY56" s="72">
        <v>4.9751243781095411E-3</v>
      </c>
      <c r="AZ56" s="24"/>
      <c r="BA56" s="72">
        <v>-4.9504950495049549E-2</v>
      </c>
    </row>
    <row r="57" spans="1:53" ht="15.6" customHeight="1">
      <c r="A57" s="71" t="s">
        <v>8</v>
      </c>
      <c r="B57" s="24"/>
      <c r="C57" s="95"/>
      <c r="D57" s="95"/>
      <c r="E57" s="95"/>
      <c r="F57" s="95"/>
      <c r="G57" s="24"/>
      <c r="H57" s="95"/>
      <c r="I57" s="95"/>
      <c r="J57" s="95"/>
      <c r="K57" s="95"/>
      <c r="L57" s="24"/>
      <c r="M57" s="95"/>
      <c r="N57" s="95"/>
      <c r="O57" s="95"/>
      <c r="P57" s="95"/>
      <c r="Q57" s="24">
        <f>Q55/L55-1</f>
        <v>6.4699205448354169E-2</v>
      </c>
      <c r="R57" s="73"/>
      <c r="S57" s="73"/>
      <c r="T57" s="73"/>
      <c r="U57" s="73"/>
      <c r="V57" s="24">
        <f t="shared" ref="V57:AD57" si="86">V55/Q55-1</f>
        <v>-0.5149253731343284</v>
      </c>
      <c r="W57" s="73">
        <f t="shared" si="86"/>
        <v>9.009009009008917E-3</v>
      </c>
      <c r="X57" s="73">
        <f t="shared" si="86"/>
        <v>-8.9285714285713969E-3</v>
      </c>
      <c r="Y57" s="73">
        <f t="shared" si="86"/>
        <v>-5.3719008264462853E-2</v>
      </c>
      <c r="Z57" s="73">
        <f t="shared" si="86"/>
        <v>1.3513513513513598E-2</v>
      </c>
      <c r="AA57" s="24">
        <f t="shared" si="86"/>
        <v>-1.098901098901095E-2</v>
      </c>
      <c r="AB57" s="73">
        <f t="shared" si="86"/>
        <v>0</v>
      </c>
      <c r="AC57" s="73">
        <f t="shared" si="86"/>
        <v>2.7027027027026973E-2</v>
      </c>
      <c r="AD57" s="73">
        <f t="shared" si="86"/>
        <v>1.3100436681222627E-2</v>
      </c>
      <c r="AE57" s="73">
        <f t="shared" ref="AE57:AN57" si="87">AE55/Z55-1</f>
        <v>-1.7777777777777781E-2</v>
      </c>
      <c r="AF57" s="24">
        <f t="shared" si="87"/>
        <v>5.5555555555555358E-3</v>
      </c>
      <c r="AG57" s="73">
        <f t="shared" si="87"/>
        <v>-8.0357142857142905E-2</v>
      </c>
      <c r="AH57" s="73">
        <f t="shared" si="87"/>
        <v>-8.7719298245614086E-2</v>
      </c>
      <c r="AI57" s="73">
        <f t="shared" si="87"/>
        <v>-5.6034482758620663E-2</v>
      </c>
      <c r="AJ57" s="73">
        <f t="shared" si="87"/>
        <v>-3.1674208144796379E-2</v>
      </c>
      <c r="AK57" s="24">
        <v>-6.4088397790055263E-2</v>
      </c>
      <c r="AL57" s="73">
        <v>2.9126213592232997E-2</v>
      </c>
      <c r="AM57" s="73">
        <v>0.15865384615384626</v>
      </c>
      <c r="AN57" s="73">
        <v>7.7625570776255648E-2</v>
      </c>
      <c r="AO57" s="73">
        <v>2.8037383177569986E-2</v>
      </c>
      <c r="AP57" s="24">
        <v>7.3199527744982396E-2</v>
      </c>
      <c r="AQ57" s="73">
        <v>0</v>
      </c>
      <c r="AR57" s="73">
        <v>-0.12448132780082988</v>
      </c>
      <c r="AS57" s="73">
        <v>-0.10593220338983056</v>
      </c>
      <c r="AT57" s="73">
        <v>-0.13181818181818183</v>
      </c>
      <c r="AU57" s="24">
        <v>-9.2409240924092417E-2</v>
      </c>
      <c r="AV57" s="73">
        <v>-7.547169811320753E-2</v>
      </c>
      <c r="AW57" s="73">
        <v>-2.3696682464454999E-2</v>
      </c>
      <c r="AX57" s="73">
        <v>-4.7393364928909998E-2</v>
      </c>
      <c r="AY57" s="73">
        <v>5.7591623036649109E-2</v>
      </c>
      <c r="AZ57" s="24">
        <v>-2.4242424242424288E-2</v>
      </c>
      <c r="BA57" s="73">
        <v>-2.0408163265306145E-2</v>
      </c>
    </row>
    <row r="58" spans="1:53" ht="13.5" customHeight="1">
      <c r="A58" s="69" t="s">
        <v>94</v>
      </c>
      <c r="B58" s="123" t="s">
        <v>45</v>
      </c>
      <c r="C58" s="80" t="s">
        <v>53</v>
      </c>
      <c r="D58" s="80" t="s">
        <v>53</v>
      </c>
      <c r="E58" s="80" t="s">
        <v>53</v>
      </c>
      <c r="F58" s="80" t="s">
        <v>53</v>
      </c>
      <c r="G58" s="123" t="s">
        <v>45</v>
      </c>
      <c r="H58" s="80" t="s">
        <v>53</v>
      </c>
      <c r="I58" s="80" t="s">
        <v>53</v>
      </c>
      <c r="J58" s="80" t="s">
        <v>53</v>
      </c>
      <c r="K58" s="80" t="s">
        <v>53</v>
      </c>
      <c r="L58" s="65">
        <v>647</v>
      </c>
      <c r="M58" s="80" t="s">
        <v>53</v>
      </c>
      <c r="N58" s="80" t="s">
        <v>53</v>
      </c>
      <c r="O58" s="80" t="s">
        <v>53</v>
      </c>
      <c r="P58" s="80" t="s">
        <v>53</v>
      </c>
      <c r="Q58" s="65">
        <v>640</v>
      </c>
      <c r="R58" s="70">
        <v>161</v>
      </c>
      <c r="S58" s="70">
        <v>159</v>
      </c>
      <c r="T58" s="70">
        <v>160</v>
      </c>
      <c r="U58" s="70">
        <f>V58-T58-S58-R58</f>
        <v>161</v>
      </c>
      <c r="V58" s="65">
        <v>641</v>
      </c>
      <c r="W58" s="70">
        <v>162</v>
      </c>
      <c r="X58" s="70">
        <v>158</v>
      </c>
      <c r="Y58" s="70">
        <v>169</v>
      </c>
      <c r="Z58" s="70">
        <f>AA58-Y58-X58-W58</f>
        <v>174</v>
      </c>
      <c r="AA58" s="65">
        <v>663</v>
      </c>
      <c r="AB58" s="70">
        <v>161</v>
      </c>
      <c r="AC58" s="70">
        <v>127</v>
      </c>
      <c r="AD58" s="70">
        <v>168</v>
      </c>
      <c r="AE58" s="70">
        <f>AF58-AD58-AC58-AB58</f>
        <v>151</v>
      </c>
      <c r="AF58" s="65">
        <v>607</v>
      </c>
      <c r="AG58" s="70">
        <v>156</v>
      </c>
      <c r="AH58" s="70">
        <v>156</v>
      </c>
      <c r="AI58" s="70">
        <v>163</v>
      </c>
      <c r="AJ58" s="70">
        <f>AK58-AI58-AH58-AG58</f>
        <v>164</v>
      </c>
      <c r="AK58" s="65">
        <v>639</v>
      </c>
      <c r="AL58" s="70">
        <v>150</v>
      </c>
      <c r="AM58" s="70">
        <v>156</v>
      </c>
      <c r="AN58" s="70">
        <v>161</v>
      </c>
      <c r="AO58" s="70">
        <v>149</v>
      </c>
      <c r="AP58" s="65">
        <v>616</v>
      </c>
      <c r="AQ58" s="70">
        <v>154</v>
      </c>
      <c r="AR58" s="70">
        <v>145</v>
      </c>
      <c r="AS58" s="70">
        <v>151</v>
      </c>
      <c r="AT58" s="70">
        <v>155</v>
      </c>
      <c r="AU58" s="65">
        <v>605</v>
      </c>
      <c r="AV58" s="70">
        <v>147</v>
      </c>
      <c r="AW58" s="70">
        <v>138</v>
      </c>
      <c r="AX58" s="70">
        <v>152</v>
      </c>
      <c r="AY58" s="70">
        <v>147</v>
      </c>
      <c r="AZ58" s="65">
        <v>584</v>
      </c>
      <c r="BA58" s="70">
        <v>71</v>
      </c>
    </row>
    <row r="59" spans="1:53" ht="10.5" customHeight="1">
      <c r="A59" s="71" t="s">
        <v>7</v>
      </c>
      <c r="B59" s="24"/>
      <c r="C59" s="95"/>
      <c r="D59" s="95"/>
      <c r="E59" s="95"/>
      <c r="F59" s="95"/>
      <c r="G59" s="24"/>
      <c r="H59" s="95"/>
      <c r="I59" s="95"/>
      <c r="J59" s="95"/>
      <c r="K59" s="95"/>
      <c r="L59" s="24"/>
      <c r="M59" s="95"/>
      <c r="N59" s="95"/>
      <c r="O59" s="95"/>
      <c r="P59" s="95"/>
      <c r="Q59" s="24"/>
      <c r="R59" s="72"/>
      <c r="S59" s="72">
        <f>S58/R58-1</f>
        <v>-1.2422360248447228E-2</v>
      </c>
      <c r="T59" s="72">
        <f>T58/S58-1</f>
        <v>6.2893081761006275E-3</v>
      </c>
      <c r="U59" s="72">
        <f>U58/T58-1</f>
        <v>6.2500000000000888E-3</v>
      </c>
      <c r="V59" s="24"/>
      <c r="W59" s="72">
        <f>W58/U58-1</f>
        <v>6.2111801242235032E-3</v>
      </c>
      <c r="X59" s="72">
        <f>X58/W58-1</f>
        <v>-2.4691358024691357E-2</v>
      </c>
      <c r="Y59" s="72">
        <f>Y58/X58-1</f>
        <v>6.9620253164556889E-2</v>
      </c>
      <c r="Z59" s="72">
        <f>Z58/Y58-1</f>
        <v>2.9585798816567976E-2</v>
      </c>
      <c r="AA59" s="24"/>
      <c r="AB59" s="72">
        <f>AB58/Z58-1</f>
        <v>-7.4712643678160884E-2</v>
      </c>
      <c r="AC59" s="72">
        <f>AC58/AB58-1</f>
        <v>-0.21118012422360244</v>
      </c>
      <c r="AD59" s="72">
        <f>AD58/AC58-1</f>
        <v>0.32283464566929143</v>
      </c>
      <c r="AE59" s="72">
        <f>AE58/AD58-1</f>
        <v>-0.10119047619047616</v>
      </c>
      <c r="AF59" s="24"/>
      <c r="AG59" s="72">
        <f>AG58/AE58-1</f>
        <v>3.3112582781456901E-2</v>
      </c>
      <c r="AH59" s="72">
        <f>AH58/AG58-1</f>
        <v>0</v>
      </c>
      <c r="AI59" s="72">
        <f>AI58/AH58-1</f>
        <v>4.4871794871794934E-2</v>
      </c>
      <c r="AJ59" s="72">
        <f>AJ58/AI58-1</f>
        <v>6.1349693251533388E-3</v>
      </c>
      <c r="AK59" s="24"/>
      <c r="AL59" s="72">
        <v>-8.536585365853655E-2</v>
      </c>
      <c r="AM59" s="72">
        <v>4.0000000000000036E-2</v>
      </c>
      <c r="AN59" s="72">
        <v>3.2051282051282159E-2</v>
      </c>
      <c r="AO59" s="72">
        <v>-7.4534161490683259E-2</v>
      </c>
      <c r="AP59" s="24"/>
      <c r="AQ59" s="72">
        <v>3.3557046979865834E-2</v>
      </c>
      <c r="AR59" s="72">
        <v>-5.8441558441558406E-2</v>
      </c>
      <c r="AS59" s="72">
        <v>4.1379310344827669E-2</v>
      </c>
      <c r="AT59" s="72">
        <v>2.6490066225165476E-2</v>
      </c>
      <c r="AU59" s="24"/>
      <c r="AV59" s="72">
        <v>-5.1612903225806472E-2</v>
      </c>
      <c r="AW59" s="72">
        <v>-6.1224489795918324E-2</v>
      </c>
      <c r="AX59" s="72">
        <v>0.10144927536231885</v>
      </c>
      <c r="AY59" s="72">
        <v>-3.289473684210531E-2</v>
      </c>
      <c r="AZ59" s="24"/>
      <c r="BA59" s="72">
        <v>-0.51700680272108845</v>
      </c>
    </row>
    <row r="60" spans="1:53" ht="11.65" customHeight="1">
      <c r="A60" s="71" t="s">
        <v>8</v>
      </c>
      <c r="B60" s="24"/>
      <c r="C60" s="95"/>
      <c r="D60" s="95"/>
      <c r="E60" s="95"/>
      <c r="F60" s="95"/>
      <c r="G60" s="24"/>
      <c r="H60" s="95"/>
      <c r="I60" s="95"/>
      <c r="J60" s="95"/>
      <c r="K60" s="95"/>
      <c r="L60" s="24"/>
      <c r="M60" s="95"/>
      <c r="N60" s="95"/>
      <c r="O60" s="95"/>
      <c r="P60" s="95"/>
      <c r="Q60" s="24">
        <f>Q58/L58-1</f>
        <v>-1.0819165378670781E-2</v>
      </c>
      <c r="R60" s="73"/>
      <c r="S60" s="73"/>
      <c r="T60" s="73"/>
      <c r="U60" s="73"/>
      <c r="V60" s="24">
        <f t="shared" ref="V60:AD60" si="88">V58/Q58-1</f>
        <v>1.5624999999999112E-3</v>
      </c>
      <c r="W60" s="73">
        <f t="shared" si="88"/>
        <v>6.2111801242235032E-3</v>
      </c>
      <c r="X60" s="73">
        <f t="shared" si="88"/>
        <v>-6.2893081761006275E-3</v>
      </c>
      <c r="Y60" s="73">
        <f t="shared" si="88"/>
        <v>5.6249999999999911E-2</v>
      </c>
      <c r="Z60" s="73">
        <f t="shared" si="88"/>
        <v>8.0745341614906874E-2</v>
      </c>
      <c r="AA60" s="24">
        <f t="shared" si="88"/>
        <v>3.4321372854914101E-2</v>
      </c>
      <c r="AB60" s="73">
        <f t="shared" si="88"/>
        <v>-6.1728395061728669E-3</v>
      </c>
      <c r="AC60" s="73">
        <f t="shared" si="88"/>
        <v>-0.19620253164556967</v>
      </c>
      <c r="AD60" s="73">
        <f t="shared" si="88"/>
        <v>-5.9171597633136397E-3</v>
      </c>
      <c r="AE60" s="73">
        <f t="shared" ref="AE60:AN60" si="89">AE58/Z58-1</f>
        <v>-0.13218390804597702</v>
      </c>
      <c r="AF60" s="24">
        <f t="shared" si="89"/>
        <v>-8.446455505279038E-2</v>
      </c>
      <c r="AG60" s="73">
        <f t="shared" si="89"/>
        <v>-3.105590062111796E-2</v>
      </c>
      <c r="AH60" s="73">
        <f t="shared" si="89"/>
        <v>0.22834645669291342</v>
      </c>
      <c r="AI60" s="73">
        <f t="shared" si="89"/>
        <v>-2.9761904761904767E-2</v>
      </c>
      <c r="AJ60" s="73">
        <f t="shared" si="89"/>
        <v>8.6092715231788075E-2</v>
      </c>
      <c r="AK60" s="24">
        <v>5.2718286655683677E-2</v>
      </c>
      <c r="AL60" s="73">
        <v>-3.8461538461538436E-2</v>
      </c>
      <c r="AM60" s="73">
        <v>0</v>
      </c>
      <c r="AN60" s="73">
        <v>-1.2269938650306789E-2</v>
      </c>
      <c r="AO60" s="73">
        <v>-9.1463414634146312E-2</v>
      </c>
      <c r="AP60" s="24">
        <v>-3.5993740219092296E-2</v>
      </c>
      <c r="AQ60" s="73">
        <v>2.6666666666666616E-2</v>
      </c>
      <c r="AR60" s="73">
        <v>-7.0512820512820484E-2</v>
      </c>
      <c r="AS60" s="73">
        <v>-6.2111801242236031E-2</v>
      </c>
      <c r="AT60" s="73">
        <v>4.0268456375838868E-2</v>
      </c>
      <c r="AU60" s="24">
        <v>-1.7857142857142905E-2</v>
      </c>
      <c r="AV60" s="73">
        <v>-4.5454545454545414E-2</v>
      </c>
      <c r="AW60" s="73">
        <v>-4.8275862068965503E-2</v>
      </c>
      <c r="AX60" s="73">
        <v>6.6225165562914245E-3</v>
      </c>
      <c r="AY60" s="73">
        <v>-5.1612903225806472E-2</v>
      </c>
      <c r="AZ60" s="24">
        <v>-3.4710743801652844E-2</v>
      </c>
      <c r="BA60" s="73">
        <v>-0.51700680272108845</v>
      </c>
    </row>
    <row r="61" spans="1:53" ht="13.5" customHeight="1">
      <c r="A61" s="69" t="s">
        <v>105</v>
      </c>
      <c r="B61" s="123" t="s">
        <v>45</v>
      </c>
      <c r="C61" s="80" t="s">
        <v>53</v>
      </c>
      <c r="D61" s="80" t="s">
        <v>53</v>
      </c>
      <c r="E61" s="80" t="s">
        <v>53</v>
      </c>
      <c r="F61" s="80" t="s">
        <v>53</v>
      </c>
      <c r="G61" s="123" t="s">
        <v>45</v>
      </c>
      <c r="H61" s="80" t="s">
        <v>53</v>
      </c>
      <c r="I61" s="80" t="s">
        <v>53</v>
      </c>
      <c r="J61" s="80" t="s">
        <v>53</v>
      </c>
      <c r="K61" s="80" t="s">
        <v>53</v>
      </c>
      <c r="L61" s="65">
        <v>626</v>
      </c>
      <c r="M61" s="80" t="s">
        <v>53</v>
      </c>
      <c r="N61" s="80" t="s">
        <v>53</v>
      </c>
      <c r="O61" s="80" t="s">
        <v>53</v>
      </c>
      <c r="P61" s="80" t="s">
        <v>53</v>
      </c>
      <c r="Q61" s="65">
        <v>622</v>
      </c>
      <c r="R61" s="70">
        <v>156</v>
      </c>
      <c r="S61" s="70">
        <v>158</v>
      </c>
      <c r="T61" s="70">
        <v>177</v>
      </c>
      <c r="U61" s="70">
        <f>V61-T61-S61-R61</f>
        <v>164</v>
      </c>
      <c r="V61" s="65">
        <v>655</v>
      </c>
      <c r="W61" s="70">
        <v>122</v>
      </c>
      <c r="X61" s="70">
        <v>152</v>
      </c>
      <c r="Y61" s="70">
        <v>156</v>
      </c>
      <c r="Z61" s="70">
        <f>AA61-Y61-X61-W61</f>
        <v>126</v>
      </c>
      <c r="AA61" s="65">
        <v>556</v>
      </c>
      <c r="AB61" s="70">
        <v>140</v>
      </c>
      <c r="AC61" s="70">
        <v>126</v>
      </c>
      <c r="AD61" s="70">
        <v>126</v>
      </c>
      <c r="AE61" s="70">
        <f>AF61-AD61-AC61-AB61</f>
        <v>171</v>
      </c>
      <c r="AF61" s="65">
        <v>563</v>
      </c>
      <c r="AG61" s="70">
        <v>153</v>
      </c>
      <c r="AH61" s="70">
        <v>153</v>
      </c>
      <c r="AI61" s="70">
        <v>152</v>
      </c>
      <c r="AJ61" s="70">
        <f>AK61-AI61-AH61-AG61</f>
        <v>145</v>
      </c>
      <c r="AK61" s="65">
        <v>603</v>
      </c>
      <c r="AL61" s="70">
        <v>129</v>
      </c>
      <c r="AM61" s="70">
        <v>160</v>
      </c>
      <c r="AN61" s="70">
        <v>164</v>
      </c>
      <c r="AO61" s="70">
        <v>187</v>
      </c>
      <c r="AP61" s="65">
        <v>640</v>
      </c>
      <c r="AQ61" s="70">
        <v>177</v>
      </c>
      <c r="AR61" s="70">
        <v>168</v>
      </c>
      <c r="AS61" s="70">
        <v>180</v>
      </c>
      <c r="AT61" s="70">
        <v>172</v>
      </c>
      <c r="AU61" s="65">
        <v>697</v>
      </c>
      <c r="AV61" s="70">
        <v>144</v>
      </c>
      <c r="AW61" s="70">
        <v>134</v>
      </c>
      <c r="AX61" s="70">
        <v>159</v>
      </c>
      <c r="AY61" s="70">
        <v>158</v>
      </c>
      <c r="AZ61" s="65">
        <v>595</v>
      </c>
      <c r="BA61" s="70">
        <v>145</v>
      </c>
    </row>
    <row r="62" spans="1:53" ht="11.65" customHeight="1">
      <c r="A62" s="71" t="s">
        <v>7</v>
      </c>
      <c r="B62" s="24"/>
      <c r="C62" s="95"/>
      <c r="D62" s="95"/>
      <c r="E62" s="95"/>
      <c r="F62" s="95"/>
      <c r="G62" s="24"/>
      <c r="H62" s="95"/>
      <c r="I62" s="95"/>
      <c r="J62" s="95"/>
      <c r="K62" s="95"/>
      <c r="L62" s="24"/>
      <c r="M62" s="95"/>
      <c r="N62" s="95"/>
      <c r="O62" s="95"/>
      <c r="P62" s="95"/>
      <c r="Q62" s="24"/>
      <c r="R62" s="72"/>
      <c r="S62" s="72">
        <f>S61/R61-1</f>
        <v>1.2820512820512775E-2</v>
      </c>
      <c r="T62" s="72">
        <f>T61/S61-1</f>
        <v>0.120253164556962</v>
      </c>
      <c r="U62" s="72">
        <f>U61/T61-1</f>
        <v>-7.3446327683615809E-2</v>
      </c>
      <c r="V62" s="24"/>
      <c r="W62" s="72">
        <f>W61/U61-1</f>
        <v>-0.25609756097560976</v>
      </c>
      <c r="X62" s="72">
        <f>X61/W61-1</f>
        <v>0.24590163934426235</v>
      </c>
      <c r="Y62" s="72">
        <f>Y61/X61-1</f>
        <v>2.6315789473684292E-2</v>
      </c>
      <c r="Z62" s="72">
        <f>Z61/Y61-1</f>
        <v>-0.19230769230769229</v>
      </c>
      <c r="AA62" s="24"/>
      <c r="AB62" s="72">
        <f>AB61/Z61-1</f>
        <v>0.11111111111111116</v>
      </c>
      <c r="AC62" s="72">
        <f>AC61/AB61-1</f>
        <v>-9.9999999999999978E-2</v>
      </c>
      <c r="AD62" s="72">
        <f>AD61/AC61-1</f>
        <v>0</v>
      </c>
      <c r="AE62" s="72">
        <f>AE61/AD61-1</f>
        <v>0.35714285714285721</v>
      </c>
      <c r="AF62" s="24"/>
      <c r="AG62" s="72">
        <f>AG61/AE61-1</f>
        <v>-0.10526315789473684</v>
      </c>
      <c r="AH62" s="72">
        <f>AH61/AG61-1</f>
        <v>0</v>
      </c>
      <c r="AI62" s="72">
        <f>AI61/AH61-1</f>
        <v>-6.5359477124182774E-3</v>
      </c>
      <c r="AJ62" s="72">
        <f>AJ61/AI61-1</f>
        <v>-4.6052631578947345E-2</v>
      </c>
      <c r="AK62" s="24"/>
      <c r="AL62" s="72">
        <v>-0.1103448275862069</v>
      </c>
      <c r="AM62" s="72">
        <v>0.24031007751937983</v>
      </c>
      <c r="AN62" s="72">
        <v>2.4999999999999911E-2</v>
      </c>
      <c r="AO62" s="72">
        <v>0.14024390243902429</v>
      </c>
      <c r="AP62" s="24"/>
      <c r="AQ62" s="72">
        <v>-5.3475935828876997E-2</v>
      </c>
      <c r="AR62" s="72">
        <v>-5.084745762711862E-2</v>
      </c>
      <c r="AS62" s="72">
        <v>7.1428571428571397E-2</v>
      </c>
      <c r="AT62" s="72">
        <v>-4.4444444444444398E-2</v>
      </c>
      <c r="AU62" s="24"/>
      <c r="AV62" s="72">
        <v>-0.16279069767441856</v>
      </c>
      <c r="AW62" s="72">
        <v>-6.944444444444442E-2</v>
      </c>
      <c r="AX62" s="72">
        <v>0.18656716417910446</v>
      </c>
      <c r="AY62" s="72">
        <v>-6.2893081761006275E-3</v>
      </c>
      <c r="AZ62" s="24"/>
      <c r="BA62" s="72">
        <v>-8.2278481012658222E-2</v>
      </c>
    </row>
    <row r="63" spans="1:53" ht="14.65" customHeight="1">
      <c r="A63" s="71" t="s">
        <v>8</v>
      </c>
      <c r="B63" s="24"/>
      <c r="C63" s="95"/>
      <c r="D63" s="95"/>
      <c r="E63" s="95"/>
      <c r="F63" s="95"/>
      <c r="G63" s="24"/>
      <c r="H63" s="95"/>
      <c r="I63" s="95"/>
      <c r="J63" s="95"/>
      <c r="K63" s="95"/>
      <c r="L63" s="24"/>
      <c r="M63" s="95"/>
      <c r="N63" s="95"/>
      <c r="O63" s="95"/>
      <c r="P63" s="95"/>
      <c r="Q63" s="24">
        <f>Q61/L61-1</f>
        <v>-6.389776357827448E-3</v>
      </c>
      <c r="R63" s="73"/>
      <c r="S63" s="73"/>
      <c r="T63" s="73"/>
      <c r="U63" s="73"/>
      <c r="V63" s="24">
        <f t="shared" ref="V63:AD63" si="90">V61/Q61-1</f>
        <v>5.3054662379421247E-2</v>
      </c>
      <c r="W63" s="73">
        <f t="shared" si="90"/>
        <v>-0.21794871794871795</v>
      </c>
      <c r="X63" s="73">
        <f t="shared" si="90"/>
        <v>-3.7974683544303778E-2</v>
      </c>
      <c r="Y63" s="73">
        <f t="shared" si="90"/>
        <v>-0.11864406779661019</v>
      </c>
      <c r="Z63" s="73">
        <f t="shared" si="90"/>
        <v>-0.23170731707317072</v>
      </c>
      <c r="AA63" s="24">
        <f t="shared" si="90"/>
        <v>-0.15114503816793889</v>
      </c>
      <c r="AB63" s="73">
        <f t="shared" si="90"/>
        <v>0.14754098360655732</v>
      </c>
      <c r="AC63" s="73">
        <f t="shared" si="90"/>
        <v>-0.17105263157894735</v>
      </c>
      <c r="AD63" s="73">
        <f t="shared" si="90"/>
        <v>-0.19230769230769229</v>
      </c>
      <c r="AE63" s="73">
        <f t="shared" ref="AE63:AN63" si="91">AE61/Z61-1</f>
        <v>0.35714285714285721</v>
      </c>
      <c r="AF63" s="24">
        <f t="shared" si="91"/>
        <v>1.2589928057553879E-2</v>
      </c>
      <c r="AG63" s="73">
        <f t="shared" si="91"/>
        <v>9.2857142857142749E-2</v>
      </c>
      <c r="AH63" s="73">
        <f t="shared" si="91"/>
        <v>0.21428571428571419</v>
      </c>
      <c r="AI63" s="73">
        <f t="shared" si="91"/>
        <v>0.20634920634920628</v>
      </c>
      <c r="AJ63" s="73">
        <f t="shared" si="91"/>
        <v>-0.15204678362573099</v>
      </c>
      <c r="AK63" s="24">
        <v>7.104795737122549E-2</v>
      </c>
      <c r="AL63" s="73">
        <v>-0.15686274509803921</v>
      </c>
      <c r="AM63" s="73">
        <v>4.5751633986928164E-2</v>
      </c>
      <c r="AN63" s="73">
        <v>7.8947368421052655E-2</v>
      </c>
      <c r="AO63" s="73">
        <v>0.28965517241379302</v>
      </c>
      <c r="AP63" s="24">
        <v>6.1359867330016638E-2</v>
      </c>
      <c r="AQ63" s="73">
        <v>0.37209302325581395</v>
      </c>
      <c r="AR63" s="73">
        <v>5.0000000000000044E-2</v>
      </c>
      <c r="AS63" s="73">
        <v>9.7560975609756184E-2</v>
      </c>
      <c r="AT63" s="73">
        <v>-8.0213903743315496E-2</v>
      </c>
      <c r="AU63" s="24">
        <v>8.9062500000000044E-2</v>
      </c>
      <c r="AV63" s="73">
        <v>-0.18644067796610164</v>
      </c>
      <c r="AW63" s="73">
        <v>-0.20238095238095233</v>
      </c>
      <c r="AX63" s="73">
        <v>-0.1166666666666667</v>
      </c>
      <c r="AY63" s="73">
        <v>-8.1395348837209336E-2</v>
      </c>
      <c r="AZ63" s="24">
        <v>-0.14634146341463417</v>
      </c>
      <c r="BA63" s="73">
        <v>6.9444444444444198E-3</v>
      </c>
    </row>
    <row r="64" spans="1:53" ht="13.5" customHeight="1">
      <c r="A64" s="69" t="s">
        <v>95</v>
      </c>
      <c r="B64" s="123" t="s">
        <v>45</v>
      </c>
      <c r="C64" s="80" t="s">
        <v>53</v>
      </c>
      <c r="D64" s="80" t="s">
        <v>53</v>
      </c>
      <c r="E64" s="80" t="s">
        <v>53</v>
      </c>
      <c r="F64" s="80" t="s">
        <v>53</v>
      </c>
      <c r="G64" s="123" t="s">
        <v>45</v>
      </c>
      <c r="H64" s="80" t="s">
        <v>53</v>
      </c>
      <c r="I64" s="80" t="s">
        <v>53</v>
      </c>
      <c r="J64" s="80" t="s">
        <v>53</v>
      </c>
      <c r="K64" s="80" t="s">
        <v>53</v>
      </c>
      <c r="L64" s="65">
        <v>218</v>
      </c>
      <c r="M64" s="80" t="s">
        <v>53</v>
      </c>
      <c r="N64" s="80" t="s">
        <v>53</v>
      </c>
      <c r="O64" s="80" t="s">
        <v>53</v>
      </c>
      <c r="P64" s="80" t="s">
        <v>53</v>
      </c>
      <c r="Q64" s="65">
        <v>189</v>
      </c>
      <c r="R64" s="70">
        <v>46</v>
      </c>
      <c r="S64" s="70">
        <v>43</v>
      </c>
      <c r="T64" s="70">
        <v>42</v>
      </c>
      <c r="U64" s="70">
        <f>V64-T64-S64-R64</f>
        <v>39</v>
      </c>
      <c r="V64" s="65">
        <v>170</v>
      </c>
      <c r="W64" s="70">
        <v>43</v>
      </c>
      <c r="X64" s="70">
        <v>34</v>
      </c>
      <c r="Y64" s="70">
        <v>35</v>
      </c>
      <c r="Z64" s="70">
        <f>AA64-Y64-X64-W64</f>
        <v>46</v>
      </c>
      <c r="AA64" s="65">
        <v>158</v>
      </c>
      <c r="AB64" s="70">
        <v>38</v>
      </c>
      <c r="AC64" s="70">
        <v>36</v>
      </c>
      <c r="AD64" s="70">
        <v>33</v>
      </c>
      <c r="AE64" s="70">
        <f>AF64-AD64-AC64-AB64</f>
        <v>55</v>
      </c>
      <c r="AF64" s="65">
        <v>162</v>
      </c>
      <c r="AG64" s="70">
        <v>40</v>
      </c>
      <c r="AH64" s="70">
        <v>38</v>
      </c>
      <c r="AI64" s="70">
        <v>35</v>
      </c>
      <c r="AJ64" s="70">
        <f>AK64-AI64-AH64-AG64</f>
        <v>24</v>
      </c>
      <c r="AK64" s="65">
        <v>137</v>
      </c>
      <c r="AL64" s="70">
        <v>34</v>
      </c>
      <c r="AM64" s="70">
        <v>55</v>
      </c>
      <c r="AN64" s="70">
        <v>52</v>
      </c>
      <c r="AO64" s="70">
        <v>58</v>
      </c>
      <c r="AP64" s="65">
        <v>199</v>
      </c>
      <c r="AQ64" s="70">
        <v>63</v>
      </c>
      <c r="AR64" s="70">
        <v>61</v>
      </c>
      <c r="AS64" s="70">
        <v>68</v>
      </c>
      <c r="AT64" s="70">
        <v>69</v>
      </c>
      <c r="AU64" s="65">
        <v>261</v>
      </c>
      <c r="AV64" s="70">
        <v>67</v>
      </c>
      <c r="AW64" s="70">
        <v>64</v>
      </c>
      <c r="AX64" s="70">
        <v>67</v>
      </c>
      <c r="AY64" s="70">
        <v>62</v>
      </c>
      <c r="AZ64" s="65">
        <v>260</v>
      </c>
      <c r="BA64" s="70">
        <v>71</v>
      </c>
    </row>
    <row r="65" spans="1:53" ht="9.75" customHeight="1">
      <c r="A65" s="71" t="s">
        <v>7</v>
      </c>
      <c r="B65" s="24"/>
      <c r="C65" s="95"/>
      <c r="D65" s="95"/>
      <c r="E65" s="95"/>
      <c r="F65" s="95"/>
      <c r="G65" s="24"/>
      <c r="H65" s="95"/>
      <c r="I65" s="95"/>
      <c r="J65" s="95"/>
      <c r="K65" s="95"/>
      <c r="L65" s="24"/>
      <c r="M65" s="95"/>
      <c r="N65" s="95"/>
      <c r="O65" s="95"/>
      <c r="P65" s="95"/>
      <c r="Q65" s="24"/>
      <c r="R65" s="72"/>
      <c r="S65" s="72">
        <f>S64/R64-1</f>
        <v>-6.5217391304347783E-2</v>
      </c>
      <c r="T65" s="72">
        <f>T64/S64-1</f>
        <v>-2.3255813953488413E-2</v>
      </c>
      <c r="U65" s="72">
        <f>U64/T64-1</f>
        <v>-7.1428571428571397E-2</v>
      </c>
      <c r="V65" s="24"/>
      <c r="W65" s="72">
        <f>W64/U64-1</f>
        <v>0.10256410256410264</v>
      </c>
      <c r="X65" s="72">
        <f>X64/W64-1</f>
        <v>-0.20930232558139539</v>
      </c>
      <c r="Y65" s="72">
        <f>Y64/X64-1</f>
        <v>2.9411764705882248E-2</v>
      </c>
      <c r="Z65" s="72">
        <f>Z64/Y64-1</f>
        <v>0.31428571428571428</v>
      </c>
      <c r="AA65" s="24"/>
      <c r="AB65" s="72">
        <f>AB64/Z64-1</f>
        <v>-0.17391304347826086</v>
      </c>
      <c r="AC65" s="72">
        <f>AC64/AB64-1</f>
        <v>-5.2631578947368474E-2</v>
      </c>
      <c r="AD65" s="72">
        <f>AD64/AC64-1</f>
        <v>-8.333333333333337E-2</v>
      </c>
      <c r="AE65" s="72">
        <f>AE64/AD64-1</f>
        <v>0.66666666666666674</v>
      </c>
      <c r="AF65" s="24"/>
      <c r="AG65" s="72">
        <f>AG64/AE64-1</f>
        <v>-0.27272727272727271</v>
      </c>
      <c r="AH65" s="72">
        <f>AH64/AG64-1</f>
        <v>-5.0000000000000044E-2</v>
      </c>
      <c r="AI65" s="72">
        <f>AI64/AH64-1</f>
        <v>-7.8947368421052655E-2</v>
      </c>
      <c r="AJ65" s="72">
        <f>AJ64/AI64-1</f>
        <v>-0.31428571428571428</v>
      </c>
      <c r="AK65" s="24"/>
      <c r="AL65" s="72">
        <v>0.41666666666666674</v>
      </c>
      <c r="AM65" s="72">
        <v>0.61764705882352944</v>
      </c>
      <c r="AN65" s="72">
        <v>-5.4545454545454564E-2</v>
      </c>
      <c r="AO65" s="72">
        <v>0.11538461538461542</v>
      </c>
      <c r="AP65" s="24"/>
      <c r="AQ65" s="72">
        <v>8.6206896551724199E-2</v>
      </c>
      <c r="AR65" s="72">
        <v>-3.1746031746031744E-2</v>
      </c>
      <c r="AS65" s="72">
        <v>0.11475409836065564</v>
      </c>
      <c r="AT65" s="72">
        <v>1.4705882352941124E-2</v>
      </c>
      <c r="AU65" s="24"/>
      <c r="AV65" s="72">
        <v>-2.8985507246376829E-2</v>
      </c>
      <c r="AW65" s="72">
        <v>-4.4776119402985093E-2</v>
      </c>
      <c r="AX65" s="72">
        <v>4.6875E-2</v>
      </c>
      <c r="AY65" s="72">
        <v>-7.4626865671641784E-2</v>
      </c>
      <c r="AZ65" s="24"/>
      <c r="BA65" s="72">
        <v>0.14516129032258074</v>
      </c>
    </row>
    <row r="66" spans="1:53" ht="13.15" customHeight="1">
      <c r="A66" s="71" t="s">
        <v>8</v>
      </c>
      <c r="B66" s="24"/>
      <c r="C66" s="95"/>
      <c r="D66" s="95"/>
      <c r="E66" s="95"/>
      <c r="F66" s="95"/>
      <c r="G66" s="24"/>
      <c r="H66" s="95"/>
      <c r="I66" s="95"/>
      <c r="J66" s="95"/>
      <c r="K66" s="95"/>
      <c r="L66" s="24"/>
      <c r="M66" s="95"/>
      <c r="N66" s="95"/>
      <c r="O66" s="95"/>
      <c r="P66" s="95"/>
      <c r="Q66" s="24">
        <f>Q64/L64-1</f>
        <v>-0.1330275229357798</v>
      </c>
      <c r="R66" s="73"/>
      <c r="S66" s="73"/>
      <c r="T66" s="73"/>
      <c r="U66" s="73"/>
      <c r="V66" s="24">
        <f t="shared" ref="V66:AD66" si="92">V64/Q64-1</f>
        <v>-0.10052910052910058</v>
      </c>
      <c r="W66" s="73">
        <f t="shared" si="92"/>
        <v>-6.5217391304347783E-2</v>
      </c>
      <c r="X66" s="73">
        <f t="shared" si="92"/>
        <v>-0.20930232558139539</v>
      </c>
      <c r="Y66" s="73">
        <f t="shared" si="92"/>
        <v>-0.16666666666666663</v>
      </c>
      <c r="Z66" s="73">
        <f t="shared" si="92"/>
        <v>0.17948717948717952</v>
      </c>
      <c r="AA66" s="24">
        <f t="shared" si="92"/>
        <v>-7.0588235294117618E-2</v>
      </c>
      <c r="AB66" s="73">
        <f t="shared" si="92"/>
        <v>-0.11627906976744184</v>
      </c>
      <c r="AC66" s="73">
        <f t="shared" si="92"/>
        <v>5.8823529411764719E-2</v>
      </c>
      <c r="AD66" s="73">
        <f t="shared" si="92"/>
        <v>-5.7142857142857162E-2</v>
      </c>
      <c r="AE66" s="73">
        <f t="shared" ref="AE66:AN66" si="93">AE64/Z64-1</f>
        <v>0.19565217391304346</v>
      </c>
      <c r="AF66" s="24">
        <f t="shared" si="93"/>
        <v>2.5316455696202445E-2</v>
      </c>
      <c r="AG66" s="73">
        <f t="shared" si="93"/>
        <v>5.2631578947368363E-2</v>
      </c>
      <c r="AH66" s="73">
        <f t="shared" si="93"/>
        <v>5.555555555555558E-2</v>
      </c>
      <c r="AI66" s="73">
        <f t="shared" si="93"/>
        <v>6.0606060606060552E-2</v>
      </c>
      <c r="AJ66" s="73">
        <f t="shared" si="93"/>
        <v>-0.56363636363636371</v>
      </c>
      <c r="AK66" s="24">
        <v>-0.15432098765432101</v>
      </c>
      <c r="AL66" s="73">
        <v>-0.15000000000000002</v>
      </c>
      <c r="AM66" s="73">
        <v>0.44736842105263164</v>
      </c>
      <c r="AN66" s="73">
        <v>0.48571428571428577</v>
      </c>
      <c r="AO66" s="73">
        <v>1.4166666666666665</v>
      </c>
      <c r="AP66" s="24">
        <v>0.45255474452554734</v>
      </c>
      <c r="AQ66" s="73">
        <v>0.85294117647058831</v>
      </c>
      <c r="AR66" s="73">
        <v>0.10909090909090913</v>
      </c>
      <c r="AS66" s="73">
        <v>0.30769230769230771</v>
      </c>
      <c r="AT66" s="73">
        <v>0.18965517241379315</v>
      </c>
      <c r="AU66" s="24">
        <v>0.31155778894472363</v>
      </c>
      <c r="AV66" s="73">
        <v>6.3492063492063489E-2</v>
      </c>
      <c r="AW66" s="73">
        <v>4.9180327868852514E-2</v>
      </c>
      <c r="AX66" s="73">
        <v>-1.4705882352941124E-2</v>
      </c>
      <c r="AY66" s="73">
        <v>-0.10144927536231885</v>
      </c>
      <c r="AZ66" s="24">
        <v>-3.8314176245211051E-3</v>
      </c>
      <c r="BA66" s="73">
        <v>5.9701492537313383E-2</v>
      </c>
    </row>
    <row r="67" spans="1:53" ht="12.6" customHeight="1">
      <c r="A67" s="69" t="s">
        <v>104</v>
      </c>
      <c r="B67" s="123" t="s">
        <v>45</v>
      </c>
      <c r="C67" s="80" t="s">
        <v>53</v>
      </c>
      <c r="D67" s="80" t="s">
        <v>53</v>
      </c>
      <c r="E67" s="80" t="s">
        <v>53</v>
      </c>
      <c r="F67" s="80" t="s">
        <v>53</v>
      </c>
      <c r="G67" s="123" t="s">
        <v>45</v>
      </c>
      <c r="H67" s="80" t="s">
        <v>53</v>
      </c>
      <c r="I67" s="80" t="s">
        <v>53</v>
      </c>
      <c r="J67" s="80" t="s">
        <v>53</v>
      </c>
      <c r="K67" s="80" t="s">
        <v>53</v>
      </c>
      <c r="L67" s="65">
        <v>177</v>
      </c>
      <c r="M67" s="80" t="s">
        <v>53</v>
      </c>
      <c r="N67" s="80" t="s">
        <v>53</v>
      </c>
      <c r="O67" s="80" t="s">
        <v>53</v>
      </c>
      <c r="P67" s="80" t="s">
        <v>53</v>
      </c>
      <c r="Q67" s="65">
        <v>188</v>
      </c>
      <c r="R67" s="70">
        <v>42</v>
      </c>
      <c r="S67" s="70">
        <v>33</v>
      </c>
      <c r="T67" s="70">
        <v>37</v>
      </c>
      <c r="U67" s="70">
        <f>V67-T67-S67-R67</f>
        <v>30</v>
      </c>
      <c r="V67" s="65">
        <v>142</v>
      </c>
      <c r="W67" s="70">
        <v>38</v>
      </c>
      <c r="X67" s="70">
        <v>39</v>
      </c>
      <c r="Y67" s="70">
        <v>44</v>
      </c>
      <c r="Z67" s="70">
        <f>AA67-Y67-X67-W67</f>
        <v>41</v>
      </c>
      <c r="AA67" s="65">
        <v>162</v>
      </c>
      <c r="AB67" s="70">
        <v>37</v>
      </c>
      <c r="AC67" s="70">
        <v>38</v>
      </c>
      <c r="AD67" s="70">
        <v>38</v>
      </c>
      <c r="AE67" s="70">
        <f>AF67-AD67-AC67-AB67</f>
        <v>39</v>
      </c>
      <c r="AF67" s="65">
        <v>152</v>
      </c>
      <c r="AG67" s="70">
        <v>37</v>
      </c>
      <c r="AH67" s="70">
        <v>40</v>
      </c>
      <c r="AI67" s="70">
        <v>38</v>
      </c>
      <c r="AJ67" s="70">
        <f>AK67-AI67-AH67-AG67</f>
        <v>39</v>
      </c>
      <c r="AK67" s="65">
        <v>154</v>
      </c>
      <c r="AL67" s="70">
        <v>35</v>
      </c>
      <c r="AM67" s="70">
        <v>41</v>
      </c>
      <c r="AN67" s="70">
        <v>47</v>
      </c>
      <c r="AO67" s="70">
        <v>44</v>
      </c>
      <c r="AP67" s="65">
        <v>167</v>
      </c>
      <c r="AQ67" s="70">
        <v>42</v>
      </c>
      <c r="AR67" s="70">
        <v>39</v>
      </c>
      <c r="AS67" s="70">
        <v>42</v>
      </c>
      <c r="AT67" s="70">
        <v>41</v>
      </c>
      <c r="AU67" s="65">
        <v>164</v>
      </c>
      <c r="AV67" s="70">
        <v>42</v>
      </c>
      <c r="AW67" s="70">
        <v>39</v>
      </c>
      <c r="AX67" s="70">
        <v>38</v>
      </c>
      <c r="AY67" s="70">
        <v>37</v>
      </c>
      <c r="AZ67" s="65">
        <v>156</v>
      </c>
      <c r="BA67" s="70">
        <v>17</v>
      </c>
    </row>
    <row r="68" spans="1:53" ht="10.5" customHeight="1">
      <c r="A68" s="71" t="s">
        <v>7</v>
      </c>
      <c r="B68" s="24"/>
      <c r="C68" s="95"/>
      <c r="D68" s="95"/>
      <c r="E68" s="95"/>
      <c r="F68" s="95"/>
      <c r="G68" s="24"/>
      <c r="H68" s="95"/>
      <c r="I68" s="95"/>
      <c r="J68" s="95"/>
      <c r="K68" s="95"/>
      <c r="L68" s="24"/>
      <c r="M68" s="95"/>
      <c r="N68" s="95"/>
      <c r="O68" s="95"/>
      <c r="P68" s="95"/>
      <c r="Q68" s="24"/>
      <c r="R68" s="72"/>
      <c r="S68" s="72">
        <f>S67/R67-1</f>
        <v>-0.2142857142857143</v>
      </c>
      <c r="T68" s="72">
        <f>T67/S67-1</f>
        <v>0.1212121212121211</v>
      </c>
      <c r="U68" s="72">
        <f>U67/T67-1</f>
        <v>-0.18918918918918914</v>
      </c>
      <c r="V68" s="24"/>
      <c r="W68" s="72">
        <f>W67/U67-1</f>
        <v>0.26666666666666661</v>
      </c>
      <c r="X68" s="72">
        <f>X67/W67-1</f>
        <v>2.6315789473684292E-2</v>
      </c>
      <c r="Y68" s="72">
        <f>Y67/X67-1</f>
        <v>0.12820512820512819</v>
      </c>
      <c r="Z68" s="72">
        <f>Z67/Y67-1</f>
        <v>-6.8181818181818232E-2</v>
      </c>
      <c r="AA68" s="24"/>
      <c r="AB68" s="72">
        <f>AB67/Z67-1</f>
        <v>-9.7560975609756073E-2</v>
      </c>
      <c r="AC68" s="72">
        <f>AC67/AB67-1</f>
        <v>2.7027027027026973E-2</v>
      </c>
      <c r="AD68" s="72">
        <f>AD67/AC67-1</f>
        <v>0</v>
      </c>
      <c r="AE68" s="72">
        <f>AE67/AD67-1</f>
        <v>2.6315789473684292E-2</v>
      </c>
      <c r="AF68" s="24"/>
      <c r="AG68" s="72">
        <f>AG67/AE67-1</f>
        <v>-5.1282051282051322E-2</v>
      </c>
      <c r="AH68" s="72">
        <f>AH67/AG67-1</f>
        <v>8.1081081081081141E-2</v>
      </c>
      <c r="AI68" s="72">
        <f>AI67/AH67-1</f>
        <v>-5.0000000000000044E-2</v>
      </c>
      <c r="AJ68" s="72">
        <f>AJ67/AI67-1</f>
        <v>2.6315789473684292E-2</v>
      </c>
      <c r="AK68" s="24"/>
      <c r="AL68" s="72">
        <v>-0.10256410256410253</v>
      </c>
      <c r="AM68" s="72">
        <v>0.17142857142857149</v>
      </c>
      <c r="AN68" s="72">
        <v>0.14634146341463405</v>
      </c>
      <c r="AO68" s="72">
        <v>-6.3829787234042534E-2</v>
      </c>
      <c r="AP68" s="24"/>
      <c r="AQ68" s="72">
        <v>-4.5454545454545414E-2</v>
      </c>
      <c r="AR68" s="72">
        <v>-7.1428571428571397E-2</v>
      </c>
      <c r="AS68" s="72">
        <v>7.6923076923076872E-2</v>
      </c>
      <c r="AT68" s="72">
        <v>-2.3809523809523836E-2</v>
      </c>
      <c r="AU68" s="24"/>
      <c r="AV68" s="72">
        <v>2.4390243902439046E-2</v>
      </c>
      <c r="AW68" s="72">
        <v>-7.1428571428571397E-2</v>
      </c>
      <c r="AX68" s="72">
        <v>-2.5641025641025661E-2</v>
      </c>
      <c r="AY68" s="72">
        <v>-2.6315789473684181E-2</v>
      </c>
      <c r="AZ68" s="24"/>
      <c r="BA68" s="72">
        <v>-0.54054054054054057</v>
      </c>
    </row>
    <row r="69" spans="1:53" ht="14.1" customHeight="1">
      <c r="A69" s="71" t="s">
        <v>8</v>
      </c>
      <c r="B69" s="24"/>
      <c r="C69" s="95"/>
      <c r="D69" s="95"/>
      <c r="E69" s="95"/>
      <c r="F69" s="95"/>
      <c r="G69" s="24"/>
      <c r="H69" s="95"/>
      <c r="I69" s="95"/>
      <c r="J69" s="95"/>
      <c r="K69" s="95"/>
      <c r="L69" s="24"/>
      <c r="M69" s="95"/>
      <c r="N69" s="95"/>
      <c r="O69" s="95"/>
      <c r="P69" s="95"/>
      <c r="Q69" s="24">
        <f>Q67/L67-1</f>
        <v>6.2146892655367214E-2</v>
      </c>
      <c r="R69" s="73"/>
      <c r="S69" s="73"/>
      <c r="T69" s="73"/>
      <c r="U69" s="73"/>
      <c r="V69" s="24">
        <f t="shared" ref="V69:AD69" si="94">V67/Q67-1</f>
        <v>-0.24468085106382975</v>
      </c>
      <c r="W69" s="73">
        <f t="shared" si="94"/>
        <v>-9.5238095238095233E-2</v>
      </c>
      <c r="X69" s="73">
        <f t="shared" si="94"/>
        <v>0.18181818181818188</v>
      </c>
      <c r="Y69" s="73">
        <f t="shared" si="94"/>
        <v>0.18918918918918926</v>
      </c>
      <c r="Z69" s="73">
        <f t="shared" si="94"/>
        <v>0.3666666666666667</v>
      </c>
      <c r="AA69" s="24">
        <f t="shared" si="94"/>
        <v>0.14084507042253525</v>
      </c>
      <c r="AB69" s="73">
        <f t="shared" si="94"/>
        <v>-2.6315789473684181E-2</v>
      </c>
      <c r="AC69" s="73">
        <f t="shared" si="94"/>
        <v>-2.5641025641025661E-2</v>
      </c>
      <c r="AD69" s="73">
        <f t="shared" si="94"/>
        <v>-0.13636363636363635</v>
      </c>
      <c r="AE69" s="73">
        <f t="shared" ref="AE69:AN69" si="95">AE67/Z67-1</f>
        <v>-4.8780487804878092E-2</v>
      </c>
      <c r="AF69" s="24">
        <f t="shared" si="95"/>
        <v>-6.1728395061728447E-2</v>
      </c>
      <c r="AG69" s="73">
        <f t="shared" si="95"/>
        <v>0</v>
      </c>
      <c r="AH69" s="73">
        <f t="shared" si="95"/>
        <v>5.2631578947368363E-2</v>
      </c>
      <c r="AI69" s="73">
        <f t="shared" si="95"/>
        <v>0</v>
      </c>
      <c r="AJ69" s="73">
        <f t="shared" si="95"/>
        <v>0</v>
      </c>
      <c r="AK69" s="24">
        <v>1.3157894736842035E-2</v>
      </c>
      <c r="AL69" s="73">
        <v>-5.4054054054054057E-2</v>
      </c>
      <c r="AM69" s="73">
        <v>2.4999999999999911E-2</v>
      </c>
      <c r="AN69" s="73">
        <v>0.23684210526315796</v>
      </c>
      <c r="AO69" s="73">
        <v>0.12820512820512819</v>
      </c>
      <c r="AP69" s="24">
        <v>8.4415584415584499E-2</v>
      </c>
      <c r="AQ69" s="73">
        <v>0.19999999999999996</v>
      </c>
      <c r="AR69" s="73">
        <v>-4.8780487804878092E-2</v>
      </c>
      <c r="AS69" s="73">
        <v>-0.1063829787234043</v>
      </c>
      <c r="AT69" s="73">
        <v>-6.8181818181818232E-2</v>
      </c>
      <c r="AU69" s="24">
        <v>-1.7964071856287456E-2</v>
      </c>
      <c r="AV69" s="73">
        <v>0</v>
      </c>
      <c r="AW69" s="73">
        <v>0</v>
      </c>
      <c r="AX69" s="73">
        <v>-9.5238095238095233E-2</v>
      </c>
      <c r="AY69" s="73">
        <v>-9.7560975609756073E-2</v>
      </c>
      <c r="AZ69" s="24">
        <v>-4.8780487804878092E-2</v>
      </c>
      <c r="BA69" s="73">
        <v>-0.59523809523809523</v>
      </c>
    </row>
    <row r="70" spans="1:53" ht="13.5" customHeight="1">
      <c r="A70" s="69" t="s">
        <v>219</v>
      </c>
      <c r="B70" s="123" t="s">
        <v>45</v>
      </c>
      <c r="C70" s="80" t="s">
        <v>53</v>
      </c>
      <c r="D70" s="80" t="s">
        <v>53</v>
      </c>
      <c r="E70" s="80" t="s">
        <v>53</v>
      </c>
      <c r="F70" s="80" t="s">
        <v>53</v>
      </c>
      <c r="G70" s="123" t="s">
        <v>45</v>
      </c>
      <c r="H70" s="80" t="s">
        <v>53</v>
      </c>
      <c r="I70" s="80" t="s">
        <v>53</v>
      </c>
      <c r="J70" s="80" t="s">
        <v>53</v>
      </c>
      <c r="K70" s="80" t="s">
        <v>53</v>
      </c>
      <c r="L70" s="65">
        <v>151</v>
      </c>
      <c r="M70" s="80" t="s">
        <v>53</v>
      </c>
      <c r="N70" s="80" t="s">
        <v>53</v>
      </c>
      <c r="O70" s="80" t="s">
        <v>53</v>
      </c>
      <c r="P70" s="80" t="s">
        <v>53</v>
      </c>
      <c r="Q70" s="65">
        <v>156</v>
      </c>
      <c r="R70" s="70">
        <v>33</v>
      </c>
      <c r="S70" s="70">
        <v>32</v>
      </c>
      <c r="T70" s="70">
        <v>30</v>
      </c>
      <c r="U70" s="70">
        <f>V70-T70-S70-R70</f>
        <v>28</v>
      </c>
      <c r="V70" s="65">
        <v>123</v>
      </c>
      <c r="W70" s="70">
        <v>24</v>
      </c>
      <c r="X70" s="70">
        <v>24</v>
      </c>
      <c r="Y70" s="70">
        <v>21</v>
      </c>
      <c r="Z70" s="70">
        <f>AA70-Y70-X70-W70</f>
        <v>34</v>
      </c>
      <c r="AA70" s="65">
        <v>103</v>
      </c>
      <c r="AB70" s="70">
        <v>17</v>
      </c>
      <c r="AC70" s="70">
        <v>17</v>
      </c>
      <c r="AD70" s="70">
        <v>16</v>
      </c>
      <c r="AE70" s="70">
        <f>AF70-AD70-AC70-AB70</f>
        <v>15</v>
      </c>
      <c r="AF70" s="65">
        <v>65</v>
      </c>
      <c r="AG70" s="70">
        <v>15</v>
      </c>
      <c r="AH70" s="70">
        <v>15</v>
      </c>
      <c r="AI70" s="70">
        <v>15</v>
      </c>
      <c r="AJ70" s="70">
        <f>AK70-AI70-AH70-AG70</f>
        <v>13</v>
      </c>
      <c r="AK70" s="65">
        <v>58</v>
      </c>
      <c r="AL70" s="70">
        <v>13</v>
      </c>
      <c r="AM70" s="70">
        <v>144</v>
      </c>
      <c r="AN70" s="70">
        <v>147</v>
      </c>
      <c r="AO70" s="70">
        <v>154</v>
      </c>
      <c r="AP70" s="65">
        <v>458</v>
      </c>
      <c r="AQ70" s="70">
        <v>154</v>
      </c>
      <c r="AR70" s="70">
        <v>147</v>
      </c>
      <c r="AS70" s="70">
        <v>165</v>
      </c>
      <c r="AT70" s="70">
        <v>163</v>
      </c>
      <c r="AU70" s="65">
        <v>629</v>
      </c>
      <c r="AV70" s="70">
        <v>161</v>
      </c>
      <c r="AW70" s="70">
        <v>162</v>
      </c>
      <c r="AX70" s="70">
        <v>158</v>
      </c>
      <c r="AY70" s="70">
        <v>155</v>
      </c>
      <c r="AZ70" s="65">
        <v>636</v>
      </c>
      <c r="BA70" s="70">
        <v>156</v>
      </c>
    </row>
    <row r="71" spans="1:53" ht="9.6" customHeight="1">
      <c r="A71" s="71" t="s">
        <v>7</v>
      </c>
      <c r="B71" s="24"/>
      <c r="C71" s="95"/>
      <c r="D71" s="95"/>
      <c r="E71" s="95"/>
      <c r="F71" s="95"/>
      <c r="G71" s="24"/>
      <c r="H71" s="95"/>
      <c r="I71" s="95"/>
      <c r="J71" s="95"/>
      <c r="K71" s="95"/>
      <c r="L71" s="24"/>
      <c r="M71" s="95"/>
      <c r="N71" s="95"/>
      <c r="O71" s="95"/>
      <c r="P71" s="95"/>
      <c r="Q71" s="24"/>
      <c r="R71" s="72"/>
      <c r="S71" s="72">
        <f>S70/R70-1</f>
        <v>-3.0303030303030276E-2</v>
      </c>
      <c r="T71" s="72">
        <f>T70/S70-1</f>
        <v>-6.25E-2</v>
      </c>
      <c r="U71" s="72">
        <f>U70/T70-1</f>
        <v>-6.6666666666666652E-2</v>
      </c>
      <c r="V71" s="24"/>
      <c r="W71" s="72">
        <f>W70/U70-1</f>
        <v>-0.1428571428571429</v>
      </c>
      <c r="X71" s="72">
        <f>X70/W70-1</f>
        <v>0</v>
      </c>
      <c r="Y71" s="72">
        <f>Y70/X70-1</f>
        <v>-0.125</v>
      </c>
      <c r="Z71" s="72">
        <f>Z70/Y70-1</f>
        <v>0.61904761904761907</v>
      </c>
      <c r="AA71" s="24"/>
      <c r="AB71" s="72">
        <f>AB70/Z70-1</f>
        <v>-0.5</v>
      </c>
      <c r="AC71" s="72">
        <f>AC70/AB70-1</f>
        <v>0</v>
      </c>
      <c r="AD71" s="72">
        <f>AD70/AC70-1</f>
        <v>-5.8823529411764719E-2</v>
      </c>
      <c r="AE71" s="72">
        <f>AE70/AD70-1</f>
        <v>-6.25E-2</v>
      </c>
      <c r="AF71" s="24"/>
      <c r="AG71" s="72">
        <f>AG70/AE70-1</f>
        <v>0</v>
      </c>
      <c r="AH71" s="72">
        <f>AH70/AG70-1</f>
        <v>0</v>
      </c>
      <c r="AI71" s="72">
        <f>AI70/AH70-1</f>
        <v>0</v>
      </c>
      <c r="AJ71" s="72">
        <f>AJ70/AI70-1</f>
        <v>-0.1333333333333333</v>
      </c>
      <c r="AK71" s="24"/>
      <c r="AL71" s="72">
        <v>0</v>
      </c>
      <c r="AM71" s="85" t="s">
        <v>44</v>
      </c>
      <c r="AN71" s="72">
        <v>2.0833333333333259E-2</v>
      </c>
      <c r="AO71" s="72">
        <v>4.7619047619047672E-2</v>
      </c>
      <c r="AP71" s="24"/>
      <c r="AQ71" s="72">
        <v>0</v>
      </c>
      <c r="AR71" s="72">
        <v>-4.5454545454545414E-2</v>
      </c>
      <c r="AS71" s="72">
        <v>0.12244897959183665</v>
      </c>
      <c r="AT71" s="72">
        <v>-1.2121212121212088E-2</v>
      </c>
      <c r="AU71" s="24"/>
      <c r="AV71" s="72">
        <v>-1.2269938650306789E-2</v>
      </c>
      <c r="AW71" s="72">
        <v>6.2111801242235032E-3</v>
      </c>
      <c r="AX71" s="72">
        <v>-2.4691358024691357E-2</v>
      </c>
      <c r="AY71" s="72">
        <v>-1.8987341772151889E-2</v>
      </c>
      <c r="AZ71" s="24"/>
      <c r="BA71" s="72">
        <v>6.4516129032257119E-3</v>
      </c>
    </row>
    <row r="72" spans="1:53" ht="13.15" customHeight="1">
      <c r="A72" s="71" t="s">
        <v>8</v>
      </c>
      <c r="B72" s="24"/>
      <c r="C72" s="95"/>
      <c r="D72" s="95"/>
      <c r="E72" s="95"/>
      <c r="F72" s="95"/>
      <c r="G72" s="24"/>
      <c r="H72" s="95"/>
      <c r="I72" s="95"/>
      <c r="J72" s="95"/>
      <c r="K72" s="95"/>
      <c r="L72" s="24"/>
      <c r="M72" s="95"/>
      <c r="N72" s="95"/>
      <c r="O72" s="95"/>
      <c r="P72" s="95"/>
      <c r="Q72" s="24">
        <f>Q70/L70-1</f>
        <v>3.3112582781456901E-2</v>
      </c>
      <c r="R72" s="73"/>
      <c r="S72" s="73"/>
      <c r="T72" s="73"/>
      <c r="U72" s="73"/>
      <c r="V72" s="24">
        <f t="shared" ref="V72:AL72" si="96">V70/Q70-1</f>
        <v>-0.21153846153846156</v>
      </c>
      <c r="W72" s="73">
        <f t="shared" si="96"/>
        <v>-0.27272727272727271</v>
      </c>
      <c r="X72" s="73">
        <f t="shared" si="96"/>
        <v>-0.25</v>
      </c>
      <c r="Y72" s="73">
        <f t="shared" si="96"/>
        <v>-0.30000000000000004</v>
      </c>
      <c r="Z72" s="73">
        <f t="shared" si="96"/>
        <v>0.21428571428571419</v>
      </c>
      <c r="AA72" s="24">
        <f t="shared" si="96"/>
        <v>-0.16260162601626016</v>
      </c>
      <c r="AB72" s="73">
        <f t="shared" si="96"/>
        <v>-0.29166666666666663</v>
      </c>
      <c r="AC72" s="73">
        <f t="shared" si="96"/>
        <v>-0.29166666666666663</v>
      </c>
      <c r="AD72" s="73">
        <f t="shared" si="96"/>
        <v>-0.23809523809523814</v>
      </c>
      <c r="AE72" s="73">
        <f t="shared" si="96"/>
        <v>-0.55882352941176472</v>
      </c>
      <c r="AF72" s="24">
        <f t="shared" si="96"/>
        <v>-0.3689320388349514</v>
      </c>
      <c r="AG72" s="73">
        <f t="shared" si="96"/>
        <v>-0.11764705882352944</v>
      </c>
      <c r="AH72" s="73">
        <f t="shared" si="96"/>
        <v>-0.11764705882352944</v>
      </c>
      <c r="AI72" s="73">
        <f t="shared" si="96"/>
        <v>-6.25E-2</v>
      </c>
      <c r="AJ72" s="73">
        <f t="shared" si="96"/>
        <v>-0.1333333333333333</v>
      </c>
      <c r="AK72" s="24">
        <v>-0.10769230769230764</v>
      </c>
      <c r="AL72" s="73">
        <v>-0.1333333333333333</v>
      </c>
      <c r="AM72" s="85" t="s">
        <v>44</v>
      </c>
      <c r="AN72" s="85" t="s">
        <v>44</v>
      </c>
      <c r="AO72" s="85" t="s">
        <v>44</v>
      </c>
      <c r="AP72" s="24">
        <v>6.8965517241379306</v>
      </c>
      <c r="AQ72" s="85" t="s">
        <v>44</v>
      </c>
      <c r="AR72" s="73">
        <v>2.0833333333333259E-2</v>
      </c>
      <c r="AS72" s="73">
        <v>0.12244897959183665</v>
      </c>
      <c r="AT72" s="85" t="s">
        <v>44</v>
      </c>
      <c r="AU72" s="24">
        <v>0.3733624454148472</v>
      </c>
      <c r="AV72" s="73">
        <v>4.5454545454545414E-2</v>
      </c>
      <c r="AW72" s="73">
        <v>0.1020408163265305</v>
      </c>
      <c r="AX72" s="73">
        <v>-4.2424242424242475E-2</v>
      </c>
      <c r="AY72" s="73">
        <v>-4.9079754601227044E-2</v>
      </c>
      <c r="AZ72" s="24">
        <v>1.11287758346581E-2</v>
      </c>
      <c r="BA72" s="73">
        <v>-3.105590062111796E-2</v>
      </c>
    </row>
    <row r="73" spans="1:53" ht="13.15" hidden="1" customHeight="1">
      <c r="A73" s="69" t="s">
        <v>149</v>
      </c>
      <c r="B73" s="123" t="s">
        <v>45</v>
      </c>
      <c r="C73" s="80" t="s">
        <v>53</v>
      </c>
      <c r="D73" s="80" t="s">
        <v>53</v>
      </c>
      <c r="E73" s="80" t="s">
        <v>53</v>
      </c>
      <c r="F73" s="80" t="s">
        <v>53</v>
      </c>
      <c r="G73" s="123" t="s">
        <v>45</v>
      </c>
      <c r="H73" s="80" t="s">
        <v>53</v>
      </c>
      <c r="I73" s="80" t="s">
        <v>53</v>
      </c>
      <c r="J73" s="80" t="s">
        <v>53</v>
      </c>
      <c r="K73" s="80" t="s">
        <v>53</v>
      </c>
      <c r="L73" s="65">
        <v>127</v>
      </c>
      <c r="M73" s="80" t="s">
        <v>53</v>
      </c>
      <c r="N73" s="80" t="s">
        <v>53</v>
      </c>
      <c r="O73" s="80" t="s">
        <v>53</v>
      </c>
      <c r="P73" s="80" t="s">
        <v>53</v>
      </c>
      <c r="Q73" s="65">
        <v>130</v>
      </c>
      <c r="R73" s="70">
        <v>41</v>
      </c>
      <c r="S73" s="70">
        <v>40</v>
      </c>
      <c r="T73" s="70">
        <v>40</v>
      </c>
      <c r="U73" s="70">
        <f>V73-T73-S73-R73</f>
        <v>39</v>
      </c>
      <c r="V73" s="65">
        <v>160</v>
      </c>
      <c r="W73" s="70">
        <v>52</v>
      </c>
      <c r="X73" s="70">
        <v>47</v>
      </c>
      <c r="Y73" s="70">
        <v>24</v>
      </c>
      <c r="Z73" s="70">
        <f>AA73-Y73-X73-W73</f>
        <v>25</v>
      </c>
      <c r="AA73" s="65">
        <v>148</v>
      </c>
      <c r="AB73" s="70">
        <v>14</v>
      </c>
      <c r="AC73" s="70">
        <v>12</v>
      </c>
      <c r="AD73" s="70">
        <v>13</v>
      </c>
      <c r="AE73" s="70">
        <f>AF73-AD73-AC73-AB73</f>
        <v>12</v>
      </c>
      <c r="AF73" s="65">
        <v>51</v>
      </c>
      <c r="AG73" s="70">
        <v>0</v>
      </c>
      <c r="AH73" s="70">
        <v>0</v>
      </c>
      <c r="AI73" s="70">
        <v>0</v>
      </c>
      <c r="AJ73" s="70">
        <v>0</v>
      </c>
      <c r="AK73" s="65">
        <v>0</v>
      </c>
      <c r="AL73" s="70">
        <v>0</v>
      </c>
      <c r="AM73" s="70"/>
      <c r="AN73" s="70"/>
      <c r="AO73" s="70">
        <v>0</v>
      </c>
      <c r="AP73" s="65">
        <v>0</v>
      </c>
      <c r="AQ73" s="70">
        <v>0</v>
      </c>
      <c r="AR73" s="70"/>
      <c r="AS73" s="70"/>
      <c r="AT73" s="70">
        <v>0</v>
      </c>
      <c r="AU73" s="65">
        <v>0</v>
      </c>
      <c r="AV73" s="70">
        <v>0</v>
      </c>
      <c r="AW73" s="70">
        <v>0</v>
      </c>
      <c r="AX73" s="70">
        <v>0</v>
      </c>
      <c r="AY73" s="70">
        <v>0</v>
      </c>
      <c r="AZ73" s="65">
        <v>0</v>
      </c>
      <c r="BA73" s="70">
        <v>0</v>
      </c>
    </row>
    <row r="74" spans="1:53" ht="13.15" hidden="1" customHeight="1">
      <c r="A74" s="71" t="s">
        <v>7</v>
      </c>
      <c r="B74" s="24"/>
      <c r="C74" s="95"/>
      <c r="D74" s="95"/>
      <c r="E74" s="95"/>
      <c r="F74" s="95"/>
      <c r="G74" s="24"/>
      <c r="H74" s="95"/>
      <c r="I74" s="95"/>
      <c r="J74" s="95"/>
      <c r="K74" s="95"/>
      <c r="L74" s="24"/>
      <c r="M74" s="95"/>
      <c r="N74" s="95"/>
      <c r="O74" s="95"/>
      <c r="P74" s="95"/>
      <c r="Q74" s="24"/>
      <c r="R74" s="72"/>
      <c r="S74" s="72">
        <f>S73/R73-1</f>
        <v>-2.4390243902439046E-2</v>
      </c>
      <c r="T74" s="72">
        <f>T73/S73-1</f>
        <v>0</v>
      </c>
      <c r="U74" s="72">
        <f>U73/T73-1</f>
        <v>-2.5000000000000022E-2</v>
      </c>
      <c r="V74" s="24"/>
      <c r="W74" s="72">
        <f>W73/U73-1</f>
        <v>0.33333333333333326</v>
      </c>
      <c r="X74" s="72">
        <f>X73/W73-1</f>
        <v>-9.6153846153846145E-2</v>
      </c>
      <c r="Y74" s="72">
        <f>Y73/X73-1</f>
        <v>-0.48936170212765961</v>
      </c>
      <c r="Z74" s="72">
        <f>Z73/Y73-1</f>
        <v>4.1666666666666741E-2</v>
      </c>
      <c r="AA74" s="24"/>
      <c r="AB74" s="72">
        <f>AB73/Z73-1</f>
        <v>-0.43999999999999995</v>
      </c>
      <c r="AC74" s="72">
        <f>AC73/AB73-1</f>
        <v>-0.1428571428571429</v>
      </c>
      <c r="AD74" s="72">
        <f>AD73/AC73-1</f>
        <v>8.3333333333333259E-2</v>
      </c>
      <c r="AE74" s="72">
        <f>AE73/AD73-1</f>
        <v>-7.6923076923076872E-2</v>
      </c>
      <c r="AF74" s="24"/>
      <c r="AG74" s="85" t="s">
        <v>45</v>
      </c>
      <c r="AH74" s="85" t="s">
        <v>45</v>
      </c>
      <c r="AI74" s="85" t="s">
        <v>45</v>
      </c>
      <c r="AJ74" s="85" t="s">
        <v>45</v>
      </c>
      <c r="AK74" s="24"/>
      <c r="AL74" s="85" t="s">
        <v>45</v>
      </c>
      <c r="AM74" s="85" t="s">
        <v>45</v>
      </c>
      <c r="AN74" s="85" t="s">
        <v>45</v>
      </c>
      <c r="AO74" s="85" t="s">
        <v>45</v>
      </c>
      <c r="AP74" s="24"/>
      <c r="AQ74" s="85" t="s">
        <v>45</v>
      </c>
      <c r="AR74" s="85" t="s">
        <v>45</v>
      </c>
      <c r="AS74" s="85" t="s">
        <v>45</v>
      </c>
      <c r="AT74" s="85" t="s">
        <v>45</v>
      </c>
      <c r="AU74" s="24"/>
      <c r="AV74" s="85" t="s">
        <v>45</v>
      </c>
      <c r="AW74" s="85" t="s">
        <v>45</v>
      </c>
      <c r="AX74" s="85" t="s">
        <v>45</v>
      </c>
      <c r="AY74" s="85" t="s">
        <v>45</v>
      </c>
      <c r="AZ74" s="24"/>
      <c r="BA74" s="85" t="s">
        <v>45</v>
      </c>
    </row>
    <row r="75" spans="1:53" ht="13.15" hidden="1" customHeight="1">
      <c r="A75" s="71" t="s">
        <v>8</v>
      </c>
      <c r="B75" s="24"/>
      <c r="C75" s="95"/>
      <c r="D75" s="95"/>
      <c r="E75" s="95"/>
      <c r="F75" s="95"/>
      <c r="G75" s="24"/>
      <c r="H75" s="95"/>
      <c r="I75" s="95"/>
      <c r="J75" s="95"/>
      <c r="K75" s="95"/>
      <c r="L75" s="24"/>
      <c r="M75" s="95"/>
      <c r="N75" s="95"/>
      <c r="O75" s="95"/>
      <c r="P75" s="95"/>
      <c r="Q75" s="24">
        <f>Q73/L73-1</f>
        <v>2.3622047244094446E-2</v>
      </c>
      <c r="R75" s="73"/>
      <c r="S75" s="73"/>
      <c r="T75" s="73"/>
      <c r="U75" s="73"/>
      <c r="V75" s="24">
        <f t="shared" ref="V75:AD75" si="97">V73/Q73-1</f>
        <v>0.23076923076923084</v>
      </c>
      <c r="W75" s="73">
        <f t="shared" si="97"/>
        <v>0.26829268292682928</v>
      </c>
      <c r="X75" s="73">
        <f t="shared" si="97"/>
        <v>0.17500000000000004</v>
      </c>
      <c r="Y75" s="73">
        <f t="shared" si="97"/>
        <v>-0.4</v>
      </c>
      <c r="Z75" s="73">
        <f t="shared" si="97"/>
        <v>-0.35897435897435892</v>
      </c>
      <c r="AA75" s="24">
        <f t="shared" si="97"/>
        <v>-7.4999999999999956E-2</v>
      </c>
      <c r="AB75" s="73">
        <f t="shared" si="97"/>
        <v>-0.73076923076923084</v>
      </c>
      <c r="AC75" s="73">
        <f t="shared" si="97"/>
        <v>-0.74468085106382986</v>
      </c>
      <c r="AD75" s="73">
        <f t="shared" si="97"/>
        <v>-0.45833333333333337</v>
      </c>
      <c r="AE75" s="73">
        <f>AE73/Z73-1</f>
        <v>-0.52</v>
      </c>
      <c r="AF75" s="24">
        <f>AF73/AA73-1</f>
        <v>-0.65540540540540548</v>
      </c>
      <c r="AG75" s="85" t="s">
        <v>45</v>
      </c>
      <c r="AH75" s="85" t="s">
        <v>45</v>
      </c>
      <c r="AI75" s="85" t="s">
        <v>45</v>
      </c>
      <c r="AJ75" s="85" t="s">
        <v>45</v>
      </c>
      <c r="AK75" s="92" t="s">
        <v>45</v>
      </c>
      <c r="AL75" s="85" t="s">
        <v>45</v>
      </c>
      <c r="AM75" s="85" t="s">
        <v>45</v>
      </c>
      <c r="AN75" s="85" t="s">
        <v>45</v>
      </c>
      <c r="AO75" s="85" t="s">
        <v>45</v>
      </c>
      <c r="AP75" s="92" t="s">
        <v>45</v>
      </c>
      <c r="AQ75" s="85" t="s">
        <v>45</v>
      </c>
      <c r="AR75" s="85" t="s">
        <v>45</v>
      </c>
      <c r="AS75" s="85" t="s">
        <v>45</v>
      </c>
      <c r="AT75" s="85" t="s">
        <v>45</v>
      </c>
      <c r="AU75" s="92" t="s">
        <v>45</v>
      </c>
      <c r="AV75" s="85" t="s">
        <v>45</v>
      </c>
      <c r="AW75" s="85" t="s">
        <v>45</v>
      </c>
      <c r="AX75" s="85" t="s">
        <v>45</v>
      </c>
      <c r="AY75" s="85" t="s">
        <v>45</v>
      </c>
      <c r="AZ75" s="92" t="s">
        <v>45</v>
      </c>
      <c r="BA75" s="85" t="s">
        <v>45</v>
      </c>
    </row>
    <row r="76" spans="1:53" ht="3.6" customHeight="1">
      <c r="A76" s="44"/>
      <c r="B76" s="44"/>
      <c r="C76" s="45"/>
      <c r="D76" s="45"/>
      <c r="E76" s="45"/>
      <c r="F76" s="45"/>
      <c r="G76" s="45"/>
      <c r="H76" s="45"/>
      <c r="I76" s="45"/>
      <c r="J76" s="45"/>
      <c r="K76" s="45"/>
      <c r="L76" s="45"/>
      <c r="M76" s="45"/>
      <c r="N76" s="45"/>
      <c r="O76" s="45"/>
      <c r="P76" s="45"/>
      <c r="Q76" s="45"/>
      <c r="R76" s="45"/>
      <c r="S76" s="45"/>
      <c r="T76" s="45"/>
      <c r="U76" s="45"/>
      <c r="V76" s="45"/>
      <c r="W76" s="45"/>
      <c r="X76" s="45"/>
      <c r="Y76" s="45"/>
      <c r="Z76" s="45"/>
      <c r="AA76" s="45"/>
      <c r="AB76" s="45"/>
      <c r="AC76" s="45"/>
      <c r="AD76" s="45"/>
      <c r="AE76" s="45"/>
      <c r="AF76" s="45"/>
      <c r="AG76" s="45"/>
      <c r="AH76" s="45"/>
      <c r="AI76" s="45"/>
      <c r="AJ76" s="45"/>
      <c r="AK76" s="45"/>
      <c r="AL76" s="45"/>
      <c r="AM76" s="45"/>
      <c r="AN76" s="45"/>
      <c r="AO76" s="45"/>
      <c r="AP76" s="45"/>
      <c r="AQ76" s="45"/>
      <c r="AR76" s="45"/>
      <c r="AS76" s="45"/>
      <c r="AT76" s="45"/>
      <c r="AU76" s="45"/>
      <c r="AV76" s="45"/>
      <c r="AW76" s="45"/>
      <c r="AX76" s="45"/>
      <c r="AY76" s="45"/>
      <c r="AZ76" s="45"/>
      <c r="BA76" s="45"/>
    </row>
    <row r="77" spans="1:53" ht="13.5" customHeight="1">
      <c r="A77" s="95" t="s">
        <v>159</v>
      </c>
      <c r="B77" s="95"/>
      <c r="C77" s="95"/>
      <c r="D77" s="95"/>
      <c r="E77" s="95"/>
      <c r="F77" s="95"/>
      <c r="G77" s="95"/>
      <c r="H77" s="95"/>
      <c r="I77" s="95"/>
      <c r="J77" s="95"/>
      <c r="K77" s="95"/>
      <c r="L77" s="95"/>
      <c r="M77" s="95"/>
      <c r="N77" s="95"/>
      <c r="O77" s="95"/>
      <c r="P77" s="95"/>
      <c r="Q77" s="95"/>
      <c r="R77" s="95"/>
      <c r="S77" s="95"/>
      <c r="T77" s="95"/>
      <c r="U77" s="95"/>
      <c r="V77" s="95"/>
      <c r="W77" s="95"/>
      <c r="X77" s="95"/>
      <c r="Y77" s="95"/>
      <c r="Z77" s="95"/>
      <c r="AA77" s="95"/>
      <c r="AB77" s="95"/>
      <c r="AC77" s="95"/>
      <c r="AD77" s="95"/>
      <c r="AE77" s="95"/>
      <c r="AF77" s="95"/>
      <c r="AG77" s="95"/>
      <c r="AH77" s="95"/>
      <c r="AI77" s="95"/>
      <c r="AJ77" s="95"/>
      <c r="AK77" s="95"/>
      <c r="AL77" s="95"/>
      <c r="AM77" s="95"/>
      <c r="AN77" s="95"/>
      <c r="AO77" s="95"/>
      <c r="AP77" s="95"/>
      <c r="AQ77" s="95"/>
      <c r="AR77" s="95"/>
      <c r="AS77" s="95"/>
      <c r="AT77" s="95"/>
      <c r="AU77" s="95"/>
      <c r="AV77" s="95"/>
      <c r="AW77" s="95"/>
      <c r="AX77" s="95"/>
      <c r="AY77" s="95"/>
      <c r="AZ77" s="95"/>
      <c r="BA77" s="95"/>
    </row>
    <row r="78" spans="1:53" ht="3.6" customHeight="1">
      <c r="A78" s="44"/>
      <c r="B78" s="44"/>
      <c r="C78" s="45"/>
      <c r="D78" s="45"/>
      <c r="E78" s="45"/>
      <c r="F78" s="45"/>
      <c r="G78" s="45"/>
      <c r="H78" s="45"/>
      <c r="I78" s="45"/>
      <c r="J78" s="45"/>
      <c r="K78" s="45"/>
      <c r="L78" s="45"/>
      <c r="M78" s="45"/>
      <c r="N78" s="45"/>
      <c r="O78" s="45"/>
      <c r="P78" s="45"/>
      <c r="Q78" s="45"/>
      <c r="R78" s="45"/>
      <c r="S78" s="45"/>
      <c r="T78" s="45"/>
      <c r="U78" s="45"/>
      <c r="V78" s="45"/>
      <c r="W78" s="45"/>
      <c r="X78" s="45"/>
      <c r="Y78" s="45"/>
      <c r="Z78" s="45"/>
      <c r="AA78" s="45"/>
      <c r="AB78" s="45"/>
      <c r="AC78" s="45"/>
      <c r="AD78" s="45"/>
      <c r="AE78" s="45"/>
      <c r="AF78" s="45"/>
      <c r="AG78" s="45"/>
      <c r="AH78" s="45"/>
      <c r="AI78" s="45"/>
      <c r="AJ78" s="45"/>
      <c r="AK78" s="45"/>
      <c r="AL78" s="45"/>
      <c r="AM78" s="45"/>
      <c r="AN78" s="45"/>
      <c r="AO78" s="45"/>
      <c r="AP78" s="45"/>
      <c r="AQ78" s="45"/>
      <c r="AR78" s="45"/>
      <c r="AS78" s="45"/>
      <c r="AT78" s="45"/>
      <c r="AU78" s="45"/>
      <c r="AV78" s="45"/>
      <c r="AW78" s="45"/>
      <c r="AX78" s="45"/>
      <c r="AY78" s="45"/>
      <c r="AZ78" s="45"/>
      <c r="BA78" s="45"/>
    </row>
    <row r="79" spans="1:53" ht="18" customHeight="1">
      <c r="A79" s="35" t="s">
        <v>102</v>
      </c>
      <c r="B79" s="35"/>
      <c r="C79" s="27"/>
      <c r="D79" s="27"/>
      <c r="E79" s="27"/>
      <c r="F79" s="27"/>
      <c r="G79" s="27"/>
      <c r="H79" s="27"/>
      <c r="I79" s="27"/>
      <c r="J79" s="27"/>
      <c r="K79" s="27"/>
      <c r="L79" s="27"/>
      <c r="M79" s="27"/>
      <c r="N79" s="27"/>
      <c r="O79" s="27"/>
      <c r="P79" s="27"/>
      <c r="Q79" s="27"/>
      <c r="R79" s="27"/>
      <c r="S79" s="27"/>
      <c r="T79" s="27"/>
      <c r="U79" s="21"/>
      <c r="V79" s="21"/>
      <c r="W79" s="27"/>
      <c r="X79" s="27"/>
      <c r="Y79" s="27"/>
      <c r="Z79" s="21"/>
      <c r="AA79" s="21"/>
      <c r="AB79" s="21"/>
      <c r="AC79" s="27"/>
      <c r="AD79" s="27"/>
      <c r="AE79" s="21"/>
      <c r="AF79" s="21"/>
      <c r="AG79" s="21"/>
      <c r="AH79" s="27"/>
      <c r="AI79" s="27"/>
      <c r="AJ79" s="21"/>
      <c r="AK79" s="21"/>
      <c r="AL79" s="21"/>
      <c r="AM79" s="27"/>
      <c r="AN79" s="27"/>
      <c r="AO79" s="21"/>
      <c r="AP79" s="21"/>
      <c r="AQ79" s="21"/>
      <c r="AR79" s="27"/>
      <c r="AS79" s="27"/>
      <c r="AT79" s="21"/>
      <c r="AU79" s="21"/>
      <c r="AV79" s="21"/>
      <c r="AW79" s="21"/>
      <c r="AX79" s="21"/>
      <c r="AY79" s="21"/>
      <c r="AZ79" s="21"/>
      <c r="BA79" s="21"/>
    </row>
    <row r="80" spans="1:53" ht="6" customHeight="1">
      <c r="A80" s="61"/>
      <c r="B80" s="61"/>
      <c r="C80" s="62"/>
      <c r="D80" s="62"/>
      <c r="E80" s="62"/>
      <c r="F80" s="62"/>
      <c r="G80" s="62"/>
      <c r="H80" s="62"/>
      <c r="I80" s="62"/>
      <c r="J80" s="62"/>
      <c r="K80" s="62"/>
      <c r="L80" s="62"/>
      <c r="M80" s="62"/>
      <c r="N80" s="62"/>
      <c r="O80" s="62"/>
      <c r="P80" s="62"/>
      <c r="Q80" s="62"/>
      <c r="R80" s="62"/>
      <c r="S80" s="62"/>
      <c r="T80" s="62"/>
      <c r="U80" s="61"/>
      <c r="V80" s="61"/>
      <c r="W80" s="62"/>
      <c r="X80" s="62"/>
      <c r="Y80" s="62"/>
      <c r="Z80" s="61"/>
      <c r="AA80" s="61"/>
      <c r="AB80" s="61"/>
      <c r="AC80" s="62"/>
      <c r="AD80" s="62"/>
      <c r="AE80" s="61"/>
      <c r="AF80" s="61"/>
      <c r="AG80" s="61"/>
      <c r="AH80" s="62"/>
      <c r="AI80" s="62"/>
      <c r="AJ80" s="61"/>
      <c r="AK80" s="61"/>
      <c r="AL80" s="61"/>
      <c r="AM80" s="62"/>
      <c r="AN80" s="62"/>
      <c r="AO80" s="61"/>
      <c r="AP80" s="61"/>
      <c r="AQ80" s="61"/>
      <c r="AR80" s="62"/>
      <c r="AS80" s="62"/>
      <c r="AT80" s="61"/>
      <c r="AU80" s="61"/>
      <c r="AV80" s="61"/>
      <c r="AW80" s="61"/>
      <c r="AX80" s="61"/>
      <c r="AY80" s="61"/>
      <c r="AZ80" s="61"/>
      <c r="BA80" s="61"/>
    </row>
    <row r="81" spans="1:53" ht="13.5" customHeight="1">
      <c r="A81" s="40" t="s">
        <v>26</v>
      </c>
      <c r="B81" s="41"/>
      <c r="C81" s="49"/>
      <c r="D81" s="49"/>
      <c r="E81" s="49"/>
      <c r="F81" s="49"/>
      <c r="G81" s="41"/>
      <c r="H81" s="49"/>
      <c r="I81" s="49"/>
      <c r="J81" s="49"/>
      <c r="K81" s="49"/>
      <c r="L81" s="41"/>
      <c r="M81" s="49"/>
      <c r="N81" s="49"/>
      <c r="O81" s="49"/>
      <c r="P81" s="49"/>
      <c r="Q81" s="41"/>
      <c r="R81" s="49"/>
      <c r="S81" s="49"/>
      <c r="T81" s="49"/>
      <c r="U81" s="49"/>
      <c r="V81" s="41"/>
      <c r="W81" s="49"/>
      <c r="X81" s="49"/>
      <c r="Y81" s="49"/>
      <c r="Z81" s="49"/>
      <c r="AA81" s="41"/>
      <c r="AB81" s="49"/>
      <c r="AC81" s="49"/>
      <c r="AD81" s="49"/>
      <c r="AE81" s="49"/>
      <c r="AF81" s="41"/>
      <c r="AG81" s="49"/>
      <c r="AH81" s="49"/>
      <c r="AI81" s="49"/>
      <c r="AJ81" s="49"/>
      <c r="AK81" s="41"/>
      <c r="AL81" s="49"/>
      <c r="AM81" s="49"/>
      <c r="AN81" s="49"/>
      <c r="AO81" s="49"/>
      <c r="AP81" s="41"/>
      <c r="AQ81" s="49"/>
      <c r="AR81" s="49"/>
      <c r="AS81" s="49"/>
      <c r="AT81" s="49"/>
      <c r="AU81" s="41"/>
      <c r="AV81" s="49"/>
      <c r="AW81" s="49"/>
      <c r="AX81" s="49"/>
      <c r="AY81" s="49"/>
      <c r="AZ81" s="41"/>
      <c r="BA81" s="49"/>
    </row>
    <row r="82" spans="1:53" ht="13.5" customHeight="1">
      <c r="A82" s="69" t="s">
        <v>67</v>
      </c>
      <c r="B82" s="37">
        <f>2947-B465</f>
        <v>2697.125</v>
      </c>
      <c r="C82" s="70">
        <f>618-C465</f>
        <v>533.9</v>
      </c>
      <c r="D82" s="70">
        <f>759-D465</f>
        <v>726.63</v>
      </c>
      <c r="E82" s="70">
        <f>1212-E465</f>
        <v>1114.7670000000001</v>
      </c>
      <c r="F82" s="70">
        <f>G82-E82-D82-C82</f>
        <v>692.67600000000004</v>
      </c>
      <c r="G82" s="37">
        <f>3415-G465</f>
        <v>3067.973</v>
      </c>
      <c r="H82" s="70">
        <f>1225-H465</f>
        <v>1134.3150000000001</v>
      </c>
      <c r="I82" s="70">
        <f>808-I465</f>
        <v>714.62400000000002</v>
      </c>
      <c r="J82" s="70">
        <v>1021</v>
      </c>
      <c r="K82" s="70">
        <f>L82-J82-I82-H82</f>
        <v>785.06099999999992</v>
      </c>
      <c r="L82" s="37">
        <f>3915-260</f>
        <v>3655</v>
      </c>
      <c r="M82" s="70">
        <v>806</v>
      </c>
      <c r="N82" s="70">
        <v>976</v>
      </c>
      <c r="O82" s="70">
        <v>1166</v>
      </c>
      <c r="P82" s="70">
        <f>Q82-O82-N82-M82</f>
        <v>748</v>
      </c>
      <c r="Q82" s="37">
        <v>3696</v>
      </c>
      <c r="R82" s="70">
        <v>775</v>
      </c>
      <c r="S82" s="70">
        <v>670</v>
      </c>
      <c r="T82" s="70">
        <v>882</v>
      </c>
      <c r="U82" s="70">
        <f>V82-T82-S82-R82</f>
        <v>859</v>
      </c>
      <c r="V82" s="37">
        <v>3186</v>
      </c>
      <c r="W82" s="70">
        <v>998</v>
      </c>
      <c r="X82" s="70">
        <v>990</v>
      </c>
      <c r="Y82" s="70">
        <v>1024</v>
      </c>
      <c r="Z82" s="70">
        <f>AA82-Y82-X82-W82</f>
        <v>1002</v>
      </c>
      <c r="AA82" s="37">
        <v>4014</v>
      </c>
      <c r="AB82" s="70">
        <v>972</v>
      </c>
      <c r="AC82" s="70">
        <v>1102</v>
      </c>
      <c r="AD82" s="70">
        <v>1143</v>
      </c>
      <c r="AE82" s="70">
        <f>AF82-AD82-AC82-AB82</f>
        <v>935</v>
      </c>
      <c r="AF82" s="37">
        <v>4152</v>
      </c>
      <c r="AG82" s="70">
        <v>1043</v>
      </c>
      <c r="AH82" s="70">
        <v>1064</v>
      </c>
      <c r="AI82" s="70">
        <v>950</v>
      </c>
      <c r="AJ82" s="70">
        <f>AK82-AI82-AH82-AG82</f>
        <v>739</v>
      </c>
      <c r="AK82" s="37">
        <v>3796</v>
      </c>
      <c r="AL82" s="70">
        <v>961</v>
      </c>
      <c r="AM82" s="70">
        <v>840</v>
      </c>
      <c r="AN82" s="70">
        <v>1050</v>
      </c>
      <c r="AO82" s="70">
        <v>889</v>
      </c>
      <c r="AP82" s="37">
        <v>3740</v>
      </c>
      <c r="AQ82" s="70">
        <v>922</v>
      </c>
      <c r="AR82" s="70">
        <v>870</v>
      </c>
      <c r="AS82" s="70">
        <v>902</v>
      </c>
      <c r="AT82" s="70">
        <v>832</v>
      </c>
      <c r="AU82" s="37">
        <v>3526</v>
      </c>
      <c r="AV82" s="70">
        <v>826</v>
      </c>
      <c r="AW82" s="70">
        <v>875</v>
      </c>
      <c r="AX82" s="70">
        <v>982</v>
      </c>
      <c r="AY82" s="70">
        <v>842</v>
      </c>
      <c r="AZ82" s="37">
        <v>3525</v>
      </c>
      <c r="BA82" s="70">
        <v>909</v>
      </c>
    </row>
    <row r="83" spans="1:53" ht="13.5" customHeight="1">
      <c r="A83" s="71" t="s">
        <v>7</v>
      </c>
      <c r="B83" s="24"/>
      <c r="C83" s="72"/>
      <c r="D83" s="72">
        <f>D82/C82-1</f>
        <v>0.36098520322157723</v>
      </c>
      <c r="E83" s="72">
        <f>E82/D82-1</f>
        <v>0.5341604392882211</v>
      </c>
      <c r="F83" s="72">
        <f>F82/E82-1</f>
        <v>-0.37863607372661734</v>
      </c>
      <c r="G83" s="24"/>
      <c r="H83" s="72">
        <f>H82/F82-1</f>
        <v>0.63758380541551896</v>
      </c>
      <c r="I83" s="72">
        <f>I82/H82-1</f>
        <v>-0.36999510717922268</v>
      </c>
      <c r="J83" s="72">
        <f>J82/I82-1</f>
        <v>0.42872335661830552</v>
      </c>
      <c r="K83" s="72">
        <f>K82/J82-1</f>
        <v>-0.23108619000979436</v>
      </c>
      <c r="L83" s="24"/>
      <c r="M83" s="72">
        <f>M82/K82-1</f>
        <v>2.6671812763594316E-2</v>
      </c>
      <c r="N83" s="72">
        <f>N82/M82-1</f>
        <v>0.2109181141439207</v>
      </c>
      <c r="O83" s="72">
        <f>O82/N82-1</f>
        <v>0.19467213114754101</v>
      </c>
      <c r="P83" s="72">
        <f>P82/O82-1</f>
        <v>-0.35849056603773588</v>
      </c>
      <c r="Q83" s="24"/>
      <c r="R83" s="72">
        <f>R82/P82-1</f>
        <v>3.6096256684492012E-2</v>
      </c>
      <c r="S83" s="72">
        <f>S82/R82-1</f>
        <v>-0.13548387096774195</v>
      </c>
      <c r="T83" s="72">
        <f>T82/S82-1</f>
        <v>0.31641791044776113</v>
      </c>
      <c r="U83" s="72">
        <f>U82/T82-1</f>
        <v>-2.6077097505668889E-2</v>
      </c>
      <c r="V83" s="24"/>
      <c r="W83" s="72">
        <f>W82/U82-1</f>
        <v>0.16181606519208391</v>
      </c>
      <c r="X83" s="72">
        <f>X82/W82-1</f>
        <v>-8.0160320641282645E-3</v>
      </c>
      <c r="Y83" s="72">
        <f>Y82/X82-1</f>
        <v>3.4343434343434343E-2</v>
      </c>
      <c r="Z83" s="72">
        <f>Z82/Y82-1</f>
        <v>-2.1484375E-2</v>
      </c>
      <c r="AA83" s="24"/>
      <c r="AB83" s="72">
        <f>AB82/Z82-1</f>
        <v>-2.9940119760479056E-2</v>
      </c>
      <c r="AC83" s="72">
        <f>AC82/AB82-1</f>
        <v>0.13374485596707819</v>
      </c>
      <c r="AD83" s="72">
        <f>AD82/AC82-1</f>
        <v>3.7205081669691387E-2</v>
      </c>
      <c r="AE83" s="72">
        <f>AE82/AD82-1</f>
        <v>-0.18197725284339461</v>
      </c>
      <c r="AF83" s="24"/>
      <c r="AG83" s="72">
        <f>AG82/AE82-1</f>
        <v>0.1155080213903743</v>
      </c>
      <c r="AH83" s="72">
        <f>AH82/AG82-1</f>
        <v>2.0134228187919545E-2</v>
      </c>
      <c r="AI83" s="72">
        <f>AI82/AH82-1</f>
        <v>-0.1071428571428571</v>
      </c>
      <c r="AJ83" s="72">
        <f>AJ82/AI82-1</f>
        <v>-0.22210526315789469</v>
      </c>
      <c r="AK83" s="24"/>
      <c r="AL83" s="72">
        <v>0.30040595399188086</v>
      </c>
      <c r="AM83" s="72">
        <v>-0.12591050988553587</v>
      </c>
      <c r="AN83" s="72">
        <v>0.25</v>
      </c>
      <c r="AO83" s="72">
        <v>-0.15333333333333332</v>
      </c>
      <c r="AP83" s="24"/>
      <c r="AQ83" s="72">
        <v>3.7120359955005622E-2</v>
      </c>
      <c r="AR83" s="72">
        <v>-5.6399132321041212E-2</v>
      </c>
      <c r="AS83" s="72">
        <v>3.6781609195402298E-2</v>
      </c>
      <c r="AT83" s="72">
        <v>-7.7605321507760561E-2</v>
      </c>
      <c r="AU83" s="24"/>
      <c r="AV83" s="72">
        <v>-7.2115384615384359E-3</v>
      </c>
      <c r="AW83" s="72">
        <v>5.9322033898305149E-2</v>
      </c>
      <c r="AX83" s="72">
        <v>0.12228571428571433</v>
      </c>
      <c r="AY83" s="72">
        <v>-0.14256619144602856</v>
      </c>
      <c r="AZ83" s="24"/>
      <c r="BA83" s="72">
        <v>7.9572446555819409E-2</v>
      </c>
    </row>
    <row r="84" spans="1:53" ht="13.5" customHeight="1">
      <c r="A84" s="71" t="s">
        <v>8</v>
      </c>
      <c r="B84" s="24"/>
      <c r="C84" s="73"/>
      <c r="D84" s="73"/>
      <c r="E84" s="73"/>
      <c r="F84" s="73"/>
      <c r="G84" s="24">
        <f t="shared" ref="G84:N84" si="98">G82/B82-1</f>
        <v>0.13749752050794828</v>
      </c>
      <c r="H84" s="73">
        <f t="shared" si="98"/>
        <v>1.1245832552912534</v>
      </c>
      <c r="I84" s="73">
        <f t="shared" si="98"/>
        <v>-1.6522852070517291E-2</v>
      </c>
      <c r="J84" s="73">
        <f t="shared" si="98"/>
        <v>-8.4113541215339205E-2</v>
      </c>
      <c r="K84" s="73">
        <f t="shared" si="98"/>
        <v>0.13337404500805561</v>
      </c>
      <c r="L84" s="24">
        <f t="shared" si="98"/>
        <v>0.19134034100039354</v>
      </c>
      <c r="M84" s="73">
        <f t="shared" si="98"/>
        <v>-0.28943900063033645</v>
      </c>
      <c r="N84" s="73">
        <f t="shared" si="98"/>
        <v>0.36575317929428608</v>
      </c>
      <c r="O84" s="73">
        <f t="shared" ref="O84:Y84" si="99">O82/J82-1</f>
        <v>0.14201762977473065</v>
      </c>
      <c r="P84" s="73">
        <f t="shared" si="99"/>
        <v>-4.7207796591602347E-2</v>
      </c>
      <c r="Q84" s="24">
        <f t="shared" si="99"/>
        <v>1.1217510259917907E-2</v>
      </c>
      <c r="R84" s="73">
        <f t="shared" si="99"/>
        <v>-3.8461538461538436E-2</v>
      </c>
      <c r="S84" s="73">
        <f t="shared" si="99"/>
        <v>-0.31352459016393441</v>
      </c>
      <c r="T84" s="73">
        <f t="shared" si="99"/>
        <v>-0.24356775300171529</v>
      </c>
      <c r="U84" s="73">
        <f t="shared" si="99"/>
        <v>0.14839572192513373</v>
      </c>
      <c r="V84" s="24">
        <f t="shared" si="99"/>
        <v>-0.13798701298701299</v>
      </c>
      <c r="W84" s="73">
        <f t="shared" si="99"/>
        <v>0.28774193548387106</v>
      </c>
      <c r="X84" s="73">
        <f t="shared" si="99"/>
        <v>0.47761194029850751</v>
      </c>
      <c r="Y84" s="73">
        <f t="shared" si="99"/>
        <v>0.16099773242630389</v>
      </c>
      <c r="Z84" s="73">
        <f t="shared" ref="Z84:AI84" si="100">Z82/U82-1</f>
        <v>0.16647264260768346</v>
      </c>
      <c r="AA84" s="24">
        <f t="shared" si="100"/>
        <v>0.25988700564971756</v>
      </c>
      <c r="AB84" s="73">
        <f t="shared" si="100"/>
        <v>-2.605210420841686E-2</v>
      </c>
      <c r="AC84" s="73">
        <f t="shared" si="100"/>
        <v>0.11313131313131319</v>
      </c>
      <c r="AD84" s="73">
        <f t="shared" si="100"/>
        <v>0.1162109375</v>
      </c>
      <c r="AE84" s="73">
        <f t="shared" si="100"/>
        <v>-6.6866267465069851E-2</v>
      </c>
      <c r="AF84" s="24">
        <f t="shared" si="100"/>
        <v>3.4379671150971625E-2</v>
      </c>
      <c r="AG84" s="73">
        <f t="shared" si="100"/>
        <v>7.3045267489711962E-2</v>
      </c>
      <c r="AH84" s="73">
        <f t="shared" si="100"/>
        <v>-3.4482758620689613E-2</v>
      </c>
      <c r="AI84" s="73">
        <f t="shared" si="100"/>
        <v>-0.1688538932633421</v>
      </c>
      <c r="AJ84" s="73">
        <f t="shared" ref="AJ84:AS84" si="101">AJ82/AE82-1</f>
        <v>-0.20962566844919783</v>
      </c>
      <c r="AK84" s="24">
        <v>-8.574181117533719E-2</v>
      </c>
      <c r="AL84" s="73">
        <v>-7.8619367209971203E-2</v>
      </c>
      <c r="AM84" s="73">
        <v>-0.21052631578947367</v>
      </c>
      <c r="AN84" s="73">
        <v>0.10526315789473695</v>
      </c>
      <c r="AO84" s="73">
        <v>0.20297699594046015</v>
      </c>
      <c r="AP84" s="24">
        <v>-1.475237091675452E-2</v>
      </c>
      <c r="AQ84" s="73">
        <v>-4.0582726326742979E-2</v>
      </c>
      <c r="AR84" s="73">
        <v>3.5714285714285809E-2</v>
      </c>
      <c r="AS84" s="73">
        <v>-0.14095238095238094</v>
      </c>
      <c r="AT84" s="73">
        <v>-6.4116985376827862E-2</v>
      </c>
      <c r="AU84" s="24">
        <v>-5.7219251336898425E-2</v>
      </c>
      <c r="AV84" s="73">
        <v>-0.10412147505422997</v>
      </c>
      <c r="AW84" s="73">
        <v>5.7471264367816577E-3</v>
      </c>
      <c r="AX84" s="73">
        <v>8.8691796008869117E-2</v>
      </c>
      <c r="AY84" s="73">
        <v>1.2019230769230838E-2</v>
      </c>
      <c r="AZ84" s="24">
        <v>-2.8360748723765816E-4</v>
      </c>
      <c r="BA84" s="73">
        <v>0.1004842615012107</v>
      </c>
    </row>
    <row r="85" spans="1:53" ht="13.5" hidden="1" customHeight="1">
      <c r="A85" s="69" t="s">
        <v>50</v>
      </c>
      <c r="B85" s="37">
        <f>1385-B468</f>
        <v>1086</v>
      </c>
      <c r="C85" s="70">
        <f>333-C468</f>
        <v>263</v>
      </c>
      <c r="D85" s="70">
        <f>615-D468</f>
        <v>563</v>
      </c>
      <c r="E85" s="70">
        <f>374-E468</f>
        <v>297</v>
      </c>
      <c r="F85" s="70">
        <f>G85-E85-D85-C85</f>
        <v>509</v>
      </c>
      <c r="G85" s="37">
        <f>1897-G468</f>
        <v>1632</v>
      </c>
      <c r="H85" s="70">
        <f>415-H468</f>
        <v>395</v>
      </c>
      <c r="I85" s="70">
        <f>470-I468</f>
        <v>399</v>
      </c>
      <c r="J85" s="70">
        <f>404-78</f>
        <v>326</v>
      </c>
      <c r="K85" s="70">
        <f>L85-J85-I85-H85</f>
        <v>385</v>
      </c>
      <c r="L85" s="37">
        <f>1673-168</f>
        <v>1505</v>
      </c>
      <c r="M85" s="70">
        <v>360</v>
      </c>
      <c r="N85" s="70">
        <v>427</v>
      </c>
      <c r="O85" s="70">
        <v>381</v>
      </c>
      <c r="P85" s="70">
        <v>478</v>
      </c>
      <c r="Q85" s="37">
        <v>1645</v>
      </c>
      <c r="R85" s="70">
        <v>513</v>
      </c>
      <c r="S85" s="70">
        <v>495</v>
      </c>
      <c r="T85" s="70">
        <v>437</v>
      </c>
      <c r="U85" s="70">
        <f>V85-T85-S85-R85</f>
        <v>494</v>
      </c>
      <c r="V85" s="37">
        <v>1939</v>
      </c>
      <c r="W85" s="70">
        <v>475</v>
      </c>
      <c r="X85" s="70">
        <v>383</v>
      </c>
      <c r="Y85" s="70">
        <v>347</v>
      </c>
      <c r="Z85" s="70">
        <v>338</v>
      </c>
      <c r="AA85" s="37">
        <f>Z85+Y85+X85+W85</f>
        <v>1543</v>
      </c>
      <c r="AB85" s="70">
        <v>254</v>
      </c>
      <c r="AC85" s="70">
        <v>331</v>
      </c>
      <c r="AD85" s="70">
        <v>305</v>
      </c>
      <c r="AE85" s="70">
        <v>347</v>
      </c>
      <c r="AF85" s="37">
        <f>AE85+AD85+AC85+AB85</f>
        <v>1237</v>
      </c>
      <c r="AG85" s="70">
        <v>318</v>
      </c>
      <c r="AH85" s="70">
        <v>338</v>
      </c>
      <c r="AI85" s="70">
        <v>317</v>
      </c>
      <c r="AJ85" s="70">
        <f>AK85-AI85-AH85-AG85</f>
        <v>328</v>
      </c>
      <c r="AK85" s="37">
        <v>1301</v>
      </c>
      <c r="AL85" s="70">
        <v>392</v>
      </c>
      <c r="AM85" s="70">
        <v>490</v>
      </c>
      <c r="AN85" s="70">
        <v>381</v>
      </c>
      <c r="AO85" s="70">
        <v>354</v>
      </c>
      <c r="AP85" s="37">
        <v>1617</v>
      </c>
      <c r="AQ85" s="70">
        <v>398</v>
      </c>
      <c r="AR85" s="70">
        <v>362</v>
      </c>
      <c r="AS85" s="70">
        <v>338</v>
      </c>
      <c r="AT85" s="70"/>
      <c r="AU85" s="37"/>
      <c r="AV85" s="70">
        <v>398</v>
      </c>
      <c r="AW85" s="70">
        <v>398</v>
      </c>
      <c r="AX85" s="70">
        <v>398</v>
      </c>
      <c r="AY85" s="70"/>
      <c r="AZ85" s="37"/>
      <c r="BA85" s="70">
        <v>398</v>
      </c>
    </row>
    <row r="86" spans="1:53" ht="13.5" hidden="1" customHeight="1">
      <c r="A86" s="71" t="s">
        <v>7</v>
      </c>
      <c r="B86" s="24"/>
      <c r="C86" s="72"/>
      <c r="D86" s="72">
        <f>D85/C85-1</f>
        <v>1.1406844106463878</v>
      </c>
      <c r="E86" s="72">
        <f>E85/D85-1</f>
        <v>-0.47246891651865008</v>
      </c>
      <c r="F86" s="72">
        <f>F85/E85-1</f>
        <v>0.71380471380471389</v>
      </c>
      <c r="G86" s="24"/>
      <c r="H86" s="72">
        <f>H85/F85-1</f>
        <v>-0.22396856581532421</v>
      </c>
      <c r="I86" s="72">
        <f>I85/H85-1</f>
        <v>1.0126582278481067E-2</v>
      </c>
      <c r="J86" s="72">
        <f>J85/I85-1</f>
        <v>-0.18295739348370932</v>
      </c>
      <c r="K86" s="72">
        <f>K85/J85-1</f>
        <v>0.18098159509202461</v>
      </c>
      <c r="L86" s="24"/>
      <c r="M86" s="72">
        <f>M85/K85-1</f>
        <v>-6.4935064935064957E-2</v>
      </c>
      <c r="N86" s="72">
        <f>N85/M85-1</f>
        <v>0.18611111111111112</v>
      </c>
      <c r="O86" s="72">
        <f>O85/N85-1</f>
        <v>-0.10772833723653397</v>
      </c>
      <c r="P86" s="72">
        <f>P85/O85-1</f>
        <v>0.25459317585301844</v>
      </c>
      <c r="Q86" s="24"/>
      <c r="R86" s="72">
        <f>R85/P85-1</f>
        <v>7.322175732217584E-2</v>
      </c>
      <c r="S86" s="72">
        <f>S85/R85-1</f>
        <v>-3.5087719298245612E-2</v>
      </c>
      <c r="T86" s="72">
        <f>T85/S85-1</f>
        <v>-0.11717171717171715</v>
      </c>
      <c r="U86" s="72">
        <f>U85/T85-1</f>
        <v>0.13043478260869557</v>
      </c>
      <c r="V86" s="24"/>
      <c r="W86" s="72">
        <f>W85/U85-1</f>
        <v>-3.8461538461538436E-2</v>
      </c>
      <c r="X86" s="72">
        <f>X85/W85-1</f>
        <v>-0.19368421052631579</v>
      </c>
      <c r="Y86" s="72">
        <f>Y85/X85-1</f>
        <v>-9.3994778067885143E-2</v>
      </c>
      <c r="Z86" s="72">
        <f>Z85/Y85-1</f>
        <v>-2.5936599423631135E-2</v>
      </c>
      <c r="AA86" s="24"/>
      <c r="AB86" s="72">
        <f>AB85/Z85-1</f>
        <v>-0.24852071005917165</v>
      </c>
      <c r="AC86" s="72">
        <f>AC85/AB85-1</f>
        <v>0.3031496062992125</v>
      </c>
      <c r="AD86" s="72">
        <f>AD85/AC85-1</f>
        <v>-7.8549848942598199E-2</v>
      </c>
      <c r="AE86" s="72">
        <f>AE85/AD85-1</f>
        <v>0.13770491803278695</v>
      </c>
      <c r="AF86" s="24"/>
      <c r="AG86" s="72">
        <f>AG85/AE85-1</f>
        <v>-8.3573487031700311E-2</v>
      </c>
      <c r="AH86" s="72">
        <f>AH85/AG85-1</f>
        <v>6.2893081761006275E-2</v>
      </c>
      <c r="AI86" s="72">
        <f>AI85/AH85-1</f>
        <v>-6.2130177514792884E-2</v>
      </c>
      <c r="AJ86" s="72">
        <f>AJ85/AI85-1</f>
        <v>3.4700315457413256E-2</v>
      </c>
      <c r="AK86" s="24"/>
      <c r="AL86" s="72">
        <v>0.19512195121951215</v>
      </c>
      <c r="AM86" s="72">
        <v>0.25</v>
      </c>
      <c r="AN86" s="72">
        <v>-0.22244897959183674</v>
      </c>
      <c r="AO86" s="72">
        <v>-7.086614173228345E-2</v>
      </c>
      <c r="AP86" s="24"/>
      <c r="AQ86" s="72">
        <v>0.12429378531073443</v>
      </c>
      <c r="AR86" s="72">
        <v>-9.0452261306532611E-2</v>
      </c>
      <c r="AS86" s="72">
        <v>-6.6298342541436517E-2</v>
      </c>
      <c r="AT86" s="72"/>
      <c r="AU86" s="24"/>
      <c r="AV86" s="72" t="e">
        <v>#DIV/0!</v>
      </c>
      <c r="AW86" s="72" t="e">
        <v>#DIV/0!</v>
      </c>
      <c r="AX86" s="72">
        <v>0</v>
      </c>
      <c r="AY86" s="72"/>
      <c r="AZ86" s="24"/>
      <c r="BA86" s="72" t="e">
        <v>#DIV/0!</v>
      </c>
    </row>
    <row r="87" spans="1:53" ht="13.5" hidden="1" customHeight="1">
      <c r="A87" s="71" t="s">
        <v>8</v>
      </c>
      <c r="B87" s="24"/>
      <c r="C87" s="73"/>
      <c r="D87" s="73"/>
      <c r="E87" s="73"/>
      <c r="F87" s="73"/>
      <c r="G87" s="24">
        <f t="shared" ref="G87:N87" si="102">G85/B85-1</f>
        <v>0.50276243093922646</v>
      </c>
      <c r="H87" s="73">
        <f t="shared" si="102"/>
        <v>0.50190114068441072</v>
      </c>
      <c r="I87" s="73">
        <f t="shared" si="102"/>
        <v>-0.29129662522202482</v>
      </c>
      <c r="J87" s="73">
        <f t="shared" si="102"/>
        <v>9.7643097643097754E-2</v>
      </c>
      <c r="K87" s="73">
        <f t="shared" si="102"/>
        <v>-0.24361493123772104</v>
      </c>
      <c r="L87" s="24">
        <f t="shared" si="102"/>
        <v>-7.7818627450980338E-2</v>
      </c>
      <c r="M87" s="73">
        <f t="shared" si="102"/>
        <v>-8.8607594936708889E-2</v>
      </c>
      <c r="N87" s="73">
        <f t="shared" si="102"/>
        <v>7.0175438596491224E-2</v>
      </c>
      <c r="O87" s="73">
        <f t="shared" ref="O87:Y87" si="103">O85/J85-1</f>
        <v>0.16871165644171771</v>
      </c>
      <c r="P87" s="73">
        <f t="shared" si="103"/>
        <v>0.24155844155844153</v>
      </c>
      <c r="Q87" s="24">
        <f t="shared" si="103"/>
        <v>9.3023255813953432E-2</v>
      </c>
      <c r="R87" s="73">
        <f t="shared" si="103"/>
        <v>0.42500000000000004</v>
      </c>
      <c r="S87" s="73">
        <f t="shared" si="103"/>
        <v>0.15925058548009363</v>
      </c>
      <c r="T87" s="73">
        <f t="shared" si="103"/>
        <v>0.14698162729658804</v>
      </c>
      <c r="U87" s="73">
        <f t="shared" si="103"/>
        <v>3.3472803347280422E-2</v>
      </c>
      <c r="V87" s="24">
        <f t="shared" si="103"/>
        <v>0.17872340425531918</v>
      </c>
      <c r="W87" s="73">
        <f t="shared" si="103"/>
        <v>-7.407407407407407E-2</v>
      </c>
      <c r="X87" s="73">
        <f t="shared" si="103"/>
        <v>-0.22626262626262628</v>
      </c>
      <c r="Y87" s="73">
        <f t="shared" si="103"/>
        <v>-0.20594965675057209</v>
      </c>
      <c r="Z87" s="73">
        <f t="shared" ref="Z87:AI87" si="104">Z85/U85-1</f>
        <v>-0.31578947368421051</v>
      </c>
      <c r="AA87" s="24">
        <f t="shared" si="104"/>
        <v>-0.20422898401237755</v>
      </c>
      <c r="AB87" s="73">
        <f t="shared" si="104"/>
        <v>-0.46526315789473682</v>
      </c>
      <c r="AC87" s="73">
        <f t="shared" si="104"/>
        <v>-0.13577023498694518</v>
      </c>
      <c r="AD87" s="73">
        <f t="shared" si="104"/>
        <v>-0.12103746397694526</v>
      </c>
      <c r="AE87" s="73">
        <f t="shared" si="104"/>
        <v>2.6627218934911268E-2</v>
      </c>
      <c r="AF87" s="24">
        <f t="shared" si="104"/>
        <v>-0.19831497083603367</v>
      </c>
      <c r="AG87" s="73">
        <f t="shared" si="104"/>
        <v>0.25196850393700787</v>
      </c>
      <c r="AH87" s="73">
        <f t="shared" si="104"/>
        <v>2.114803625377637E-2</v>
      </c>
      <c r="AI87" s="73">
        <f t="shared" si="104"/>
        <v>3.9344262295081922E-2</v>
      </c>
      <c r="AJ87" s="73">
        <f t="shared" ref="AJ87:AS87" si="105">AJ85/AE85-1</f>
        <v>-5.4755043227665667E-2</v>
      </c>
      <c r="AK87" s="24">
        <v>5.1738075990299004E-2</v>
      </c>
      <c r="AL87" s="73">
        <v>0.23270440251572322</v>
      </c>
      <c r="AM87" s="73">
        <v>0.4497041420118344</v>
      </c>
      <c r="AN87" s="73">
        <v>0.20189274447949535</v>
      </c>
      <c r="AO87" s="73">
        <v>7.92682926829269E-2</v>
      </c>
      <c r="AP87" s="24">
        <v>0.24289008455034589</v>
      </c>
      <c r="AQ87" s="73">
        <v>1.5306122448979664E-2</v>
      </c>
      <c r="AR87" s="73">
        <v>-0.26122448979591839</v>
      </c>
      <c r="AS87" s="73">
        <v>-0.11286089238845143</v>
      </c>
      <c r="AT87" s="73"/>
      <c r="AU87" s="24"/>
      <c r="AV87" s="73">
        <v>0</v>
      </c>
      <c r="AW87" s="73">
        <v>9.9447513812154664E-2</v>
      </c>
      <c r="AX87" s="73">
        <v>0.1775147928994083</v>
      </c>
      <c r="AY87" s="73"/>
      <c r="AZ87" s="24"/>
      <c r="BA87" s="73">
        <v>0</v>
      </c>
    </row>
    <row r="88" spans="1:53" ht="13.5" customHeight="1">
      <c r="A88" s="69" t="s">
        <v>51</v>
      </c>
      <c r="B88" s="37">
        <f>(273+973)-B471</f>
        <v>991.45</v>
      </c>
      <c r="C88" s="70">
        <f>59+307-C471</f>
        <v>286.60000000000002</v>
      </c>
      <c r="D88" s="70">
        <f>310+76-D471</f>
        <v>346.44600000000003</v>
      </c>
      <c r="E88" s="70">
        <f>250+345-E471</f>
        <v>539.15</v>
      </c>
      <c r="F88" s="70">
        <f>G88-E88-D88-C88</f>
        <v>359.26300000000003</v>
      </c>
      <c r="G88" s="37">
        <f>469+1300-G471</f>
        <v>1531.4590000000001</v>
      </c>
      <c r="H88" s="70">
        <f>63+408-H471</f>
        <v>409.56400000000002</v>
      </c>
      <c r="I88" s="70">
        <f>93+348-I471</f>
        <v>381.08800000000002</v>
      </c>
      <c r="J88" s="70">
        <f>404-20</f>
        <v>384</v>
      </c>
      <c r="K88" s="70">
        <f>L88-J88-I88-H88</f>
        <v>360.34800000000001</v>
      </c>
      <c r="L88" s="37">
        <f>(349+1363)-177</f>
        <v>1535</v>
      </c>
      <c r="M88" s="70">
        <f>88+281</f>
        <v>369</v>
      </c>
      <c r="N88" s="70">
        <f>326+70</f>
        <v>396</v>
      </c>
      <c r="O88" s="70">
        <f>76+300</f>
        <v>376</v>
      </c>
      <c r="P88" s="70">
        <f>Q88-O88-N88-M88</f>
        <v>481</v>
      </c>
      <c r="Q88" s="37">
        <f>343+1279</f>
        <v>1622</v>
      </c>
      <c r="R88" s="70">
        <f>78+422</f>
        <v>500</v>
      </c>
      <c r="S88" s="70">
        <f>80+375</f>
        <v>455</v>
      </c>
      <c r="T88" s="70">
        <f>86+393</f>
        <v>479</v>
      </c>
      <c r="U88" s="70">
        <f>V88-T88-S88-R88</f>
        <v>469</v>
      </c>
      <c r="V88" s="37">
        <f>355+1548</f>
        <v>1903</v>
      </c>
      <c r="W88" s="70">
        <f>75+385</f>
        <v>460</v>
      </c>
      <c r="X88" s="70">
        <f>67+315</f>
        <v>382</v>
      </c>
      <c r="Y88" s="70">
        <f>58+309</f>
        <v>367</v>
      </c>
      <c r="Z88" s="70">
        <f>AA88-Y88-X88-W88</f>
        <v>331</v>
      </c>
      <c r="AA88" s="37">
        <f>269+1271</f>
        <v>1540</v>
      </c>
      <c r="AB88" s="70">
        <f>44+245</f>
        <v>289</v>
      </c>
      <c r="AC88" s="70">
        <f>49+252</f>
        <v>301</v>
      </c>
      <c r="AD88" s="70">
        <f>270+50</f>
        <v>320</v>
      </c>
      <c r="AE88" s="70">
        <f>AF88-AD88-AC88-AB88</f>
        <v>318</v>
      </c>
      <c r="AF88" s="37">
        <f>186+1042</f>
        <v>1228</v>
      </c>
      <c r="AG88" s="70">
        <f>48+267</f>
        <v>315</v>
      </c>
      <c r="AH88" s="70">
        <f>42+281</f>
        <v>323</v>
      </c>
      <c r="AI88" s="70">
        <f>50+272</f>
        <v>322</v>
      </c>
      <c r="AJ88" s="70">
        <f>AK88-AI88-AH88-AG88</f>
        <v>315</v>
      </c>
      <c r="AK88" s="37">
        <v>1275</v>
      </c>
      <c r="AL88" s="70">
        <v>368</v>
      </c>
      <c r="AM88" s="70">
        <v>511</v>
      </c>
      <c r="AN88" s="70">
        <v>427</v>
      </c>
      <c r="AO88" s="70">
        <v>329</v>
      </c>
      <c r="AP88" s="37">
        <v>1635</v>
      </c>
      <c r="AQ88" s="70">
        <v>345</v>
      </c>
      <c r="AR88" s="70">
        <v>387</v>
      </c>
      <c r="AS88" s="70">
        <v>349</v>
      </c>
      <c r="AT88" s="70">
        <v>335</v>
      </c>
      <c r="AU88" s="37">
        <v>1416</v>
      </c>
      <c r="AV88" s="70">
        <v>380</v>
      </c>
      <c r="AW88" s="70">
        <v>406</v>
      </c>
      <c r="AX88" s="70">
        <v>353</v>
      </c>
      <c r="AY88" s="70">
        <v>391</v>
      </c>
      <c r="AZ88" s="37">
        <v>1530</v>
      </c>
      <c r="BA88" s="70">
        <v>368</v>
      </c>
    </row>
    <row r="89" spans="1:53" ht="13.5" customHeight="1">
      <c r="A89" s="71" t="s">
        <v>7</v>
      </c>
      <c r="B89" s="24"/>
      <c r="C89" s="72"/>
      <c r="D89" s="72">
        <f>D88/C88-1</f>
        <v>0.2088136775994418</v>
      </c>
      <c r="E89" s="72">
        <f>E88/D88-1</f>
        <v>0.55623098549268835</v>
      </c>
      <c r="F89" s="72">
        <f>F88/E88-1</f>
        <v>-0.33364926272836859</v>
      </c>
      <c r="G89" s="24"/>
      <c r="H89" s="72">
        <f>H88/F88-1</f>
        <v>0.14001163493039903</v>
      </c>
      <c r="I89" s="72">
        <f>I88/H88-1</f>
        <v>-6.952759519879681E-2</v>
      </c>
      <c r="J89" s="72">
        <f>J88/I88-1</f>
        <v>7.6412797044251857E-3</v>
      </c>
      <c r="K89" s="72">
        <f>K88/J88-1</f>
        <v>-6.1593750000000003E-2</v>
      </c>
      <c r="L89" s="24"/>
      <c r="M89" s="72">
        <f>M88/K88-1</f>
        <v>2.4010123547237638E-2</v>
      </c>
      <c r="N89" s="72">
        <f>N88/M88-1</f>
        <v>7.3170731707317138E-2</v>
      </c>
      <c r="O89" s="72">
        <f>O88/N88-1</f>
        <v>-5.0505050505050497E-2</v>
      </c>
      <c r="P89" s="72">
        <f>P88/O88-1</f>
        <v>0.2792553191489362</v>
      </c>
      <c r="Q89" s="24"/>
      <c r="R89" s="72">
        <f>R88/P88-1</f>
        <v>3.9501039501039559E-2</v>
      </c>
      <c r="S89" s="72">
        <f>S88/R88-1</f>
        <v>-8.9999999999999969E-2</v>
      </c>
      <c r="T89" s="72">
        <f>T88/S88-1</f>
        <v>5.2747252747252782E-2</v>
      </c>
      <c r="U89" s="72">
        <f>U88/T88-1</f>
        <v>-2.087682672233826E-2</v>
      </c>
      <c r="V89" s="24"/>
      <c r="W89" s="72">
        <f>W88/U88-1</f>
        <v>-1.9189765458422214E-2</v>
      </c>
      <c r="X89" s="72">
        <f>X88/W88-1</f>
        <v>-0.16956521739130437</v>
      </c>
      <c r="Y89" s="72">
        <f>Y88/X88-1</f>
        <v>-3.9267015706806241E-2</v>
      </c>
      <c r="Z89" s="72">
        <f>Z88/Y88-1</f>
        <v>-9.8092643051771122E-2</v>
      </c>
      <c r="AA89" s="24"/>
      <c r="AB89" s="72">
        <f>AB88/Z88-1</f>
        <v>-0.12688821752265866</v>
      </c>
      <c r="AC89" s="72">
        <f>AC88/AB88-1</f>
        <v>4.1522491349480939E-2</v>
      </c>
      <c r="AD89" s="72">
        <f>AD88/AC88-1</f>
        <v>6.3122923588039948E-2</v>
      </c>
      <c r="AE89" s="72">
        <f>AE88/AD88-1</f>
        <v>-6.2499999999999778E-3</v>
      </c>
      <c r="AF89" s="24"/>
      <c r="AG89" s="72">
        <f>AG88/AE88-1</f>
        <v>-9.4339622641509413E-3</v>
      </c>
      <c r="AH89" s="72">
        <f>AH88/AG88-1</f>
        <v>2.5396825396825307E-2</v>
      </c>
      <c r="AI89" s="72">
        <f>AI88/AH88-1</f>
        <v>-3.0959752321981782E-3</v>
      </c>
      <c r="AJ89" s="72">
        <f>AJ88/AI88-1</f>
        <v>-2.1739130434782594E-2</v>
      </c>
      <c r="AK89" s="24"/>
      <c r="AL89" s="72">
        <v>0.16825396825396832</v>
      </c>
      <c r="AM89" s="72">
        <v>0.38858695652173902</v>
      </c>
      <c r="AN89" s="72">
        <v>-0.16438356164383561</v>
      </c>
      <c r="AO89" s="72">
        <v>-0.22950819672131151</v>
      </c>
      <c r="AP89" s="24"/>
      <c r="AQ89" s="72">
        <v>4.8632218844984809E-2</v>
      </c>
      <c r="AR89" s="72">
        <v>0.12173913043478257</v>
      </c>
      <c r="AS89" s="72">
        <v>-9.8191214470284227E-2</v>
      </c>
      <c r="AT89" s="72">
        <v>-4.011461318051579E-2</v>
      </c>
      <c r="AU89" s="24"/>
      <c r="AV89" s="72">
        <v>0.13432835820895517</v>
      </c>
      <c r="AW89" s="72">
        <v>6.8421052631578938E-2</v>
      </c>
      <c r="AX89" s="72">
        <v>-0.13054187192118227</v>
      </c>
      <c r="AY89" s="72">
        <v>0.10764872521246449</v>
      </c>
      <c r="AZ89" s="24"/>
      <c r="BA89" s="72">
        <v>-5.8823529411764719E-2</v>
      </c>
    </row>
    <row r="90" spans="1:53" ht="13.5" customHeight="1">
      <c r="A90" s="71" t="s">
        <v>8</v>
      </c>
      <c r="B90" s="24"/>
      <c r="C90" s="73"/>
      <c r="D90" s="73"/>
      <c r="E90" s="73"/>
      <c r="F90" s="73"/>
      <c r="G90" s="24">
        <f t="shared" ref="G90:N90" si="106">G88/B88-1</f>
        <v>0.54466589338847138</v>
      </c>
      <c r="H90" s="73">
        <f t="shared" si="106"/>
        <v>0.42904396371249121</v>
      </c>
      <c r="I90" s="73">
        <f t="shared" si="106"/>
        <v>9.9992495222920752E-2</v>
      </c>
      <c r="J90" s="73">
        <f t="shared" si="106"/>
        <v>-0.28776778262079195</v>
      </c>
      <c r="K90" s="73">
        <f t="shared" si="106"/>
        <v>3.0200716466766142E-3</v>
      </c>
      <c r="L90" s="24">
        <f t="shared" si="106"/>
        <v>2.3121742077325536E-3</v>
      </c>
      <c r="M90" s="73">
        <f t="shared" si="106"/>
        <v>-9.9041907980193633E-2</v>
      </c>
      <c r="N90" s="73">
        <f t="shared" si="106"/>
        <v>3.9130069695188396E-2</v>
      </c>
      <c r="O90" s="73">
        <f t="shared" ref="O90:Y90" si="107">O88/J88-1</f>
        <v>-2.083333333333337E-2</v>
      </c>
      <c r="P90" s="73">
        <f t="shared" si="107"/>
        <v>0.33482078435290319</v>
      </c>
      <c r="Q90" s="24">
        <f t="shared" si="107"/>
        <v>5.6677524429967319E-2</v>
      </c>
      <c r="R90" s="73">
        <f t="shared" si="107"/>
        <v>0.3550135501355014</v>
      </c>
      <c r="S90" s="73">
        <f t="shared" si="107"/>
        <v>0.14898989898989901</v>
      </c>
      <c r="T90" s="73">
        <f t="shared" si="107"/>
        <v>0.27393617021276606</v>
      </c>
      <c r="U90" s="73">
        <f t="shared" si="107"/>
        <v>-2.4948024948024949E-2</v>
      </c>
      <c r="V90" s="24">
        <f t="shared" si="107"/>
        <v>0.17324290998766956</v>
      </c>
      <c r="W90" s="73">
        <f t="shared" si="107"/>
        <v>-7.999999999999996E-2</v>
      </c>
      <c r="X90" s="73">
        <f t="shared" si="107"/>
        <v>-0.16043956043956042</v>
      </c>
      <c r="Y90" s="73">
        <f t="shared" si="107"/>
        <v>-0.23382045929018791</v>
      </c>
      <c r="Z90" s="73">
        <f t="shared" ref="Z90:AI90" si="108">Z88/U88-1</f>
        <v>-0.29424307036247332</v>
      </c>
      <c r="AA90" s="24">
        <f t="shared" si="108"/>
        <v>-0.19075144508670516</v>
      </c>
      <c r="AB90" s="73">
        <f t="shared" si="108"/>
        <v>-0.37173913043478257</v>
      </c>
      <c r="AC90" s="73">
        <f t="shared" si="108"/>
        <v>-0.2120418848167539</v>
      </c>
      <c r="AD90" s="73">
        <f t="shared" si="108"/>
        <v>-0.12806539509536785</v>
      </c>
      <c r="AE90" s="73">
        <f t="shared" si="108"/>
        <v>-3.92749244712991E-2</v>
      </c>
      <c r="AF90" s="24">
        <f t="shared" si="108"/>
        <v>-0.20259740259740255</v>
      </c>
      <c r="AG90" s="73">
        <f t="shared" si="108"/>
        <v>8.9965397923875479E-2</v>
      </c>
      <c r="AH90" s="73">
        <f t="shared" si="108"/>
        <v>7.3089700996677776E-2</v>
      </c>
      <c r="AI90" s="73">
        <f t="shared" si="108"/>
        <v>6.2500000000000888E-3</v>
      </c>
      <c r="AJ90" s="73">
        <f t="shared" ref="AJ90:AS90" si="109">AJ88/AE88-1</f>
        <v>-9.4339622641509413E-3</v>
      </c>
      <c r="AK90" s="24">
        <v>3.8273615635179059E-2</v>
      </c>
      <c r="AL90" s="73">
        <v>0.16825396825396832</v>
      </c>
      <c r="AM90" s="73">
        <v>0.58204334365325083</v>
      </c>
      <c r="AN90" s="73">
        <v>0.32608695652173902</v>
      </c>
      <c r="AO90" s="73">
        <v>4.4444444444444509E-2</v>
      </c>
      <c r="AP90" s="24">
        <v>0.2823529411764707</v>
      </c>
      <c r="AQ90" s="73">
        <v>-6.25E-2</v>
      </c>
      <c r="AR90" s="73">
        <v>-0.24266144814090018</v>
      </c>
      <c r="AS90" s="73">
        <v>-0.18266978922716626</v>
      </c>
      <c r="AT90" s="73">
        <v>1.8237082066869359E-2</v>
      </c>
      <c r="AU90" s="24">
        <v>-0.13394495412844032</v>
      </c>
      <c r="AV90" s="73">
        <v>0.10144927536231885</v>
      </c>
      <c r="AW90" s="73">
        <v>4.9095607235142058E-2</v>
      </c>
      <c r="AX90" s="73">
        <v>1.1461318051575908E-2</v>
      </c>
      <c r="AY90" s="73">
        <v>0.16716417910447756</v>
      </c>
      <c r="AZ90" s="24">
        <v>8.0508474576271194E-2</v>
      </c>
      <c r="BA90" s="73">
        <v>-3.157894736842104E-2</v>
      </c>
    </row>
    <row r="91" spans="1:53" ht="13.5" customHeight="1">
      <c r="A91" s="69" t="s">
        <v>257</v>
      </c>
      <c r="B91" s="37">
        <v>177</v>
      </c>
      <c r="C91" s="70">
        <v>61</v>
      </c>
      <c r="D91" s="70">
        <v>26</v>
      </c>
      <c r="E91" s="70">
        <v>14</v>
      </c>
      <c r="F91" s="70">
        <f>G91-E91-D91-C91</f>
        <v>46</v>
      </c>
      <c r="G91" s="37">
        <v>147</v>
      </c>
      <c r="H91" s="70">
        <v>51</v>
      </c>
      <c r="I91" s="70">
        <v>11</v>
      </c>
      <c r="J91" s="70">
        <v>20</v>
      </c>
      <c r="K91" s="70">
        <f>L91-J91-I91-H91</f>
        <v>8</v>
      </c>
      <c r="L91" s="37">
        <v>90</v>
      </c>
      <c r="M91" s="70">
        <v>15</v>
      </c>
      <c r="N91" s="70">
        <v>26</v>
      </c>
      <c r="O91" s="70">
        <v>48</v>
      </c>
      <c r="P91" s="70">
        <f>Q91-O91-N91-M91</f>
        <v>44</v>
      </c>
      <c r="Q91" s="37">
        <v>133</v>
      </c>
      <c r="R91" s="70">
        <v>187</v>
      </c>
      <c r="S91" s="70">
        <v>49</v>
      </c>
      <c r="T91" s="70">
        <v>105</v>
      </c>
      <c r="U91" s="70">
        <f>V91-T91-S91-R91</f>
        <v>-75</v>
      </c>
      <c r="V91" s="37">
        <v>266</v>
      </c>
      <c r="W91" s="70">
        <v>47</v>
      </c>
      <c r="X91" s="70">
        <v>22</v>
      </c>
      <c r="Y91" s="70">
        <v>97</v>
      </c>
      <c r="Z91" s="70">
        <f>AA91-Y91-X91-W91</f>
        <v>139</v>
      </c>
      <c r="AA91" s="37">
        <v>305</v>
      </c>
      <c r="AB91" s="70">
        <v>43</v>
      </c>
      <c r="AC91" s="70">
        <v>123</v>
      </c>
      <c r="AD91" s="70">
        <v>53</v>
      </c>
      <c r="AE91" s="70">
        <f>AF91-AD91-AC91-AB91</f>
        <v>93</v>
      </c>
      <c r="AF91" s="37">
        <v>312</v>
      </c>
      <c r="AG91" s="70">
        <v>29</v>
      </c>
      <c r="AH91" s="70">
        <v>46</v>
      </c>
      <c r="AI91" s="70">
        <v>72</v>
      </c>
      <c r="AJ91" s="70">
        <f>AK91-AI91-AH91-AG91</f>
        <v>83</v>
      </c>
      <c r="AK91" s="37">
        <v>230</v>
      </c>
      <c r="AL91" s="70">
        <v>13</v>
      </c>
      <c r="AM91" s="70">
        <v>84</v>
      </c>
      <c r="AN91" s="70">
        <v>22</v>
      </c>
      <c r="AO91" s="70">
        <v>32</v>
      </c>
      <c r="AP91" s="37">
        <v>151</v>
      </c>
      <c r="AQ91" s="70">
        <v>42</v>
      </c>
      <c r="AR91" s="70">
        <v>56</v>
      </c>
      <c r="AS91" s="70">
        <v>24</v>
      </c>
      <c r="AT91" s="70">
        <v>16</v>
      </c>
      <c r="AU91" s="37">
        <v>138</v>
      </c>
      <c r="AV91" s="70">
        <v>10</v>
      </c>
      <c r="AW91" s="70">
        <v>18</v>
      </c>
      <c r="AX91" s="70">
        <v>48</v>
      </c>
      <c r="AY91" s="70">
        <v>22</v>
      </c>
      <c r="AZ91" s="37">
        <v>98</v>
      </c>
      <c r="BA91" s="70">
        <v>8</v>
      </c>
    </row>
    <row r="92" spans="1:53" ht="13.5" customHeight="1">
      <c r="A92" s="71" t="s">
        <v>7</v>
      </c>
      <c r="B92" s="24"/>
      <c r="C92" s="72"/>
      <c r="D92" s="72">
        <f>D91/C91-1</f>
        <v>-0.57377049180327866</v>
      </c>
      <c r="E92" s="72">
        <f>E91/D91-1</f>
        <v>-0.46153846153846156</v>
      </c>
      <c r="F92" s="72">
        <f>F91/E91-1</f>
        <v>2.2857142857142856</v>
      </c>
      <c r="G92" s="24"/>
      <c r="H92" s="72">
        <f>H91/F91-1</f>
        <v>0.10869565217391308</v>
      </c>
      <c r="I92" s="72">
        <f>I91/H91-1</f>
        <v>-0.78431372549019607</v>
      </c>
      <c r="J92" s="72">
        <f>J91/I91-1</f>
        <v>0.81818181818181812</v>
      </c>
      <c r="K92" s="72">
        <f>K91/J91-1</f>
        <v>-0.6</v>
      </c>
      <c r="L92" s="24"/>
      <c r="M92" s="72">
        <f>M91/K91-1</f>
        <v>0.875</v>
      </c>
      <c r="N92" s="72">
        <f>N91/M91-1</f>
        <v>0.73333333333333339</v>
      </c>
      <c r="O92" s="72">
        <f>O91/N91-1</f>
        <v>0.84615384615384626</v>
      </c>
      <c r="P92" s="72">
        <f>P91/O91-1</f>
        <v>-8.333333333333337E-2</v>
      </c>
      <c r="Q92" s="24"/>
      <c r="R92" s="72">
        <f>R91/P91-1</f>
        <v>3.25</v>
      </c>
      <c r="S92" s="72">
        <f>S91/R91-1</f>
        <v>-0.73796791443850274</v>
      </c>
      <c r="T92" s="72">
        <f>T91/S91-1</f>
        <v>1.1428571428571428</v>
      </c>
      <c r="U92" s="72">
        <f>U91/T91-1</f>
        <v>-1.7142857142857144</v>
      </c>
      <c r="V92" s="24"/>
      <c r="W92" s="72">
        <f>W91/U91-1</f>
        <v>-1.6266666666666667</v>
      </c>
      <c r="X92" s="72">
        <f>X91/W91-1</f>
        <v>-0.53191489361702127</v>
      </c>
      <c r="Y92" s="72">
        <f>Y91/X91-1</f>
        <v>3.4090909090909092</v>
      </c>
      <c r="Z92" s="72">
        <f>Z91/Y91-1</f>
        <v>0.4329896907216495</v>
      </c>
      <c r="AA92" s="24"/>
      <c r="AB92" s="72">
        <f>AB91/Z91-1</f>
        <v>-0.69064748201438841</v>
      </c>
      <c r="AC92" s="72">
        <f>AC91/AB91-1</f>
        <v>1.86046511627907</v>
      </c>
      <c r="AD92" s="72">
        <f>AD91/AC91-1</f>
        <v>-0.56910569105691056</v>
      </c>
      <c r="AE92" s="72">
        <f>AE91/AD91-1</f>
        <v>0.75471698113207553</v>
      </c>
      <c r="AF92" s="24"/>
      <c r="AG92" s="72">
        <f>AG91/AE91-1</f>
        <v>-0.68817204301075274</v>
      </c>
      <c r="AH92" s="72">
        <f>AH91/AG91-1</f>
        <v>0.5862068965517242</v>
      </c>
      <c r="AI92" s="72">
        <f>AI91/AH91-1</f>
        <v>0.56521739130434789</v>
      </c>
      <c r="AJ92" s="72">
        <f>AJ91/AI91-1</f>
        <v>0.15277777777777768</v>
      </c>
      <c r="AK92" s="24"/>
      <c r="AL92" s="72">
        <v>-0.84337349397590367</v>
      </c>
      <c r="AM92" s="72">
        <v>5.4615384615384617</v>
      </c>
      <c r="AN92" s="72">
        <v>-0.73809523809523814</v>
      </c>
      <c r="AO92" s="72">
        <v>0.45454545454545459</v>
      </c>
      <c r="AP92" s="24"/>
      <c r="AQ92" s="72">
        <v>0.3125</v>
      </c>
      <c r="AR92" s="72">
        <v>0.33333333333333326</v>
      </c>
      <c r="AS92" s="72">
        <v>-0.5714285714285714</v>
      </c>
      <c r="AT92" s="72">
        <v>-0.33333333333333337</v>
      </c>
      <c r="AU92" s="24"/>
      <c r="AV92" s="72">
        <v>-0.375</v>
      </c>
      <c r="AW92" s="72">
        <v>0.8</v>
      </c>
      <c r="AX92" s="72">
        <v>1.6666666666666665</v>
      </c>
      <c r="AY92" s="72">
        <v>-0.54166666666666674</v>
      </c>
      <c r="AZ92" s="24"/>
      <c r="BA92" s="72">
        <v>-0.63636363636363635</v>
      </c>
    </row>
    <row r="93" spans="1:53" ht="13.5" customHeight="1">
      <c r="A93" s="71" t="s">
        <v>8</v>
      </c>
      <c r="B93" s="24"/>
      <c r="C93" s="73"/>
      <c r="D93" s="73"/>
      <c r="E93" s="73"/>
      <c r="F93" s="73"/>
      <c r="G93" s="24">
        <f t="shared" ref="G93" si="110">G91/B91-1</f>
        <v>-0.16949152542372881</v>
      </c>
      <c r="H93" s="73">
        <f t="shared" ref="H93" si="111">H91/C91-1</f>
        <v>-0.16393442622950816</v>
      </c>
      <c r="I93" s="73">
        <f t="shared" ref="I93" si="112">I91/D91-1</f>
        <v>-0.57692307692307687</v>
      </c>
      <c r="J93" s="73">
        <f t="shared" ref="J93" si="113">J91/E91-1</f>
        <v>0.4285714285714286</v>
      </c>
      <c r="K93" s="73">
        <f t="shared" ref="K93" si="114">K91/F91-1</f>
        <v>-0.82608695652173914</v>
      </c>
      <c r="L93" s="24">
        <f t="shared" ref="L93" si="115">L91/G91-1</f>
        <v>-0.38775510204081631</v>
      </c>
      <c r="M93" s="73">
        <f t="shared" ref="M93" si="116">M91/H91-1</f>
        <v>-0.70588235294117641</v>
      </c>
      <c r="N93" s="73">
        <f t="shared" ref="N93" si="117">N91/I91-1</f>
        <v>1.3636363636363638</v>
      </c>
      <c r="O93" s="73">
        <f t="shared" ref="O93" si="118">O91/J91-1</f>
        <v>1.4</v>
      </c>
      <c r="P93" s="73">
        <f t="shared" ref="P93" si="119">P91/K91-1</f>
        <v>4.5</v>
      </c>
      <c r="Q93" s="24">
        <f t="shared" ref="Q93" si="120">Q91/L91-1</f>
        <v>0.47777777777777786</v>
      </c>
      <c r="R93" s="73">
        <f t="shared" ref="R93" si="121">R91/M91-1</f>
        <v>11.466666666666667</v>
      </c>
      <c r="S93" s="73">
        <f t="shared" ref="S93" si="122">S91/N91-1</f>
        <v>0.88461538461538458</v>
      </c>
      <c r="T93" s="73">
        <f t="shared" ref="T93" si="123">T91/O91-1</f>
        <v>1.1875</v>
      </c>
      <c r="U93" s="73">
        <f t="shared" ref="U93" si="124">U91/P91-1</f>
        <v>-2.7045454545454546</v>
      </c>
      <c r="V93" s="24">
        <f t="shared" ref="V93" si="125">V91/Q91-1</f>
        <v>1</v>
      </c>
      <c r="W93" s="73">
        <f t="shared" ref="W93" si="126">W91/R91-1</f>
        <v>-0.74866310160427807</v>
      </c>
      <c r="X93" s="73">
        <f t="shared" ref="X93" si="127">X91/S91-1</f>
        <v>-0.55102040816326525</v>
      </c>
      <c r="Y93" s="73">
        <f t="shared" ref="Y93" si="128">Y91/T91-1</f>
        <v>-7.6190476190476142E-2</v>
      </c>
      <c r="Z93" s="73">
        <f t="shared" ref="Z93" si="129">Z91/U91-1</f>
        <v>-2.8533333333333335</v>
      </c>
      <c r="AA93" s="24">
        <f t="shared" ref="AA93" si="130">AA91/V91-1</f>
        <v>0.14661654135338353</v>
      </c>
      <c r="AB93" s="73">
        <f t="shared" ref="AB93" si="131">AB91/W91-1</f>
        <v>-8.5106382978723416E-2</v>
      </c>
      <c r="AC93" s="73">
        <f t="shared" ref="AC93" si="132">AC91/X91-1</f>
        <v>4.5909090909090908</v>
      </c>
      <c r="AD93" s="73">
        <f t="shared" ref="AD93" si="133">AD91/Y91-1</f>
        <v>-0.45360824742268047</v>
      </c>
      <c r="AE93" s="73">
        <f t="shared" ref="AE93" si="134">AE91/Z91-1</f>
        <v>-0.3309352517985612</v>
      </c>
      <c r="AF93" s="24">
        <f t="shared" ref="AF93" si="135">AF91/AA91-1</f>
        <v>2.2950819672131084E-2</v>
      </c>
      <c r="AG93" s="73">
        <f t="shared" ref="AG93" si="136">AG91/AB91-1</f>
        <v>-0.32558139534883723</v>
      </c>
      <c r="AH93" s="73">
        <f t="shared" ref="AH93" si="137">AH91/AC91-1</f>
        <v>-0.62601626016260159</v>
      </c>
      <c r="AI93" s="73">
        <f t="shared" ref="AI93" si="138">AI91/AD91-1</f>
        <v>0.35849056603773577</v>
      </c>
      <c r="AJ93" s="73">
        <f t="shared" ref="AJ93" si="139">AJ91/AE91-1</f>
        <v>-0.10752688172043012</v>
      </c>
      <c r="AK93" s="24">
        <v>-0.26282051282051277</v>
      </c>
      <c r="AL93" s="73">
        <v>-0.55172413793103448</v>
      </c>
      <c r="AM93" s="73">
        <v>0.82608695652173902</v>
      </c>
      <c r="AN93" s="73">
        <v>-0.69444444444444442</v>
      </c>
      <c r="AO93" s="73">
        <v>-0.61445783132530118</v>
      </c>
      <c r="AP93" s="24">
        <v>-0.34347826086956523</v>
      </c>
      <c r="AQ93" s="73">
        <v>2.2307692307692308</v>
      </c>
      <c r="AR93" s="73">
        <v>-0.33333333333333337</v>
      </c>
      <c r="AS93" s="73">
        <v>9.0909090909090828E-2</v>
      </c>
      <c r="AT93" s="73">
        <v>-0.5</v>
      </c>
      <c r="AU93" s="24">
        <v>-8.6092715231788075E-2</v>
      </c>
      <c r="AV93" s="73">
        <v>-0.76190476190476186</v>
      </c>
      <c r="AW93" s="73">
        <v>-0.6785714285714286</v>
      </c>
      <c r="AX93" s="73">
        <v>1</v>
      </c>
      <c r="AY93" s="73">
        <v>0.375</v>
      </c>
      <c r="AZ93" s="24">
        <v>-0.28985507246376807</v>
      </c>
      <c r="BA93" s="73">
        <v>-0.19999999999999996</v>
      </c>
    </row>
    <row r="94" spans="1:53" ht="13.5" customHeight="1">
      <c r="A94" s="69" t="s">
        <v>218</v>
      </c>
      <c r="B94" s="37">
        <f>B88-B91</f>
        <v>814.45</v>
      </c>
      <c r="C94" s="70">
        <f>C88-C91</f>
        <v>225.60000000000002</v>
      </c>
      <c r="D94" s="70">
        <f>D88-D91</f>
        <v>320.44600000000003</v>
      </c>
      <c r="E94" s="70">
        <f>E88-E91</f>
        <v>525.15</v>
      </c>
      <c r="F94" s="70">
        <f>G94-E94-D94-C94</f>
        <v>313.26300000000003</v>
      </c>
      <c r="G94" s="37">
        <f>G88-147</f>
        <v>1384.4590000000001</v>
      </c>
      <c r="H94" s="70">
        <f>H88-H91</f>
        <v>358.56400000000002</v>
      </c>
      <c r="I94" s="70">
        <f>I88-I91</f>
        <v>370.08800000000002</v>
      </c>
      <c r="J94" s="70">
        <f>J88-J91</f>
        <v>364</v>
      </c>
      <c r="K94" s="70">
        <f>L94-J94-I94-H94</f>
        <v>352.34800000000001</v>
      </c>
      <c r="L94" s="37">
        <f>L88-L91</f>
        <v>1445</v>
      </c>
      <c r="M94" s="70">
        <f>M88-M91</f>
        <v>354</v>
      </c>
      <c r="N94" s="70">
        <f>N88-N91</f>
        <v>370</v>
      </c>
      <c r="O94" s="70">
        <f>O88-O91</f>
        <v>328</v>
      </c>
      <c r="P94" s="70">
        <f>Q94-O94-N94-M94</f>
        <v>437</v>
      </c>
      <c r="Q94" s="37">
        <f>Q88-Q91</f>
        <v>1489</v>
      </c>
      <c r="R94" s="70">
        <f>R88-R91</f>
        <v>313</v>
      </c>
      <c r="S94" s="70">
        <f>S88-S91</f>
        <v>406</v>
      </c>
      <c r="T94" s="70">
        <f>T88-T91</f>
        <v>374</v>
      </c>
      <c r="U94" s="70">
        <f>V94-T94-S94-R94</f>
        <v>544</v>
      </c>
      <c r="V94" s="37">
        <f>V88-266</f>
        <v>1637</v>
      </c>
      <c r="W94" s="70">
        <f>W88-W91</f>
        <v>413</v>
      </c>
      <c r="X94" s="70">
        <f>X88-X91</f>
        <v>360</v>
      </c>
      <c r="Y94" s="70">
        <f>Y88-Y91</f>
        <v>270</v>
      </c>
      <c r="Z94" s="70">
        <f>AA94-Y94-X94-W94</f>
        <v>192</v>
      </c>
      <c r="AA94" s="37">
        <f>AA88-305</f>
        <v>1235</v>
      </c>
      <c r="AB94" s="70">
        <f>AB88-AB91</f>
        <v>246</v>
      </c>
      <c r="AC94" s="70">
        <f>AC88-AC91</f>
        <v>178</v>
      </c>
      <c r="AD94" s="70">
        <f>AD88-AD91</f>
        <v>267</v>
      </c>
      <c r="AE94" s="70">
        <f>AF94-AD94-AC94-AB94</f>
        <v>225</v>
      </c>
      <c r="AF94" s="37">
        <f>AF88-AF91</f>
        <v>916</v>
      </c>
      <c r="AG94" s="70">
        <f>AG88-AG91</f>
        <v>286</v>
      </c>
      <c r="AH94" s="70">
        <f>AH88-AH91</f>
        <v>277</v>
      </c>
      <c r="AI94" s="70">
        <f>AI88-AI91</f>
        <v>250</v>
      </c>
      <c r="AJ94" s="70">
        <f>AK94-AI94-AH94-AG94</f>
        <v>232</v>
      </c>
      <c r="AK94" s="37">
        <v>1045</v>
      </c>
      <c r="AL94" s="70">
        <v>355</v>
      </c>
      <c r="AM94" s="70">
        <v>427</v>
      </c>
      <c r="AN94" s="70">
        <v>405</v>
      </c>
      <c r="AO94" s="70">
        <v>297</v>
      </c>
      <c r="AP94" s="37">
        <v>1484</v>
      </c>
      <c r="AQ94" s="70">
        <v>303</v>
      </c>
      <c r="AR94" s="70">
        <v>331</v>
      </c>
      <c r="AS94" s="70">
        <v>325</v>
      </c>
      <c r="AT94" s="70">
        <v>319</v>
      </c>
      <c r="AU94" s="37">
        <v>1278</v>
      </c>
      <c r="AV94" s="70">
        <v>370</v>
      </c>
      <c r="AW94" s="70">
        <v>388</v>
      </c>
      <c r="AX94" s="70">
        <v>305</v>
      </c>
      <c r="AY94" s="70">
        <v>369</v>
      </c>
      <c r="AZ94" s="37">
        <v>1432</v>
      </c>
      <c r="BA94" s="70">
        <v>360</v>
      </c>
    </row>
    <row r="95" spans="1:53" ht="13.5" customHeight="1">
      <c r="A95" s="71" t="s">
        <v>7</v>
      </c>
      <c r="B95" s="24"/>
      <c r="C95" s="72"/>
      <c r="D95" s="72">
        <f>D94/C94-1</f>
        <v>0.42041666666666666</v>
      </c>
      <c r="E95" s="72">
        <f>E94/D94-1</f>
        <v>0.63880965903771592</v>
      </c>
      <c r="F95" s="72">
        <f>F94/E94-1</f>
        <v>-0.40347900599828612</v>
      </c>
      <c r="G95" s="24"/>
      <c r="H95" s="72">
        <f>H94/F94-1</f>
        <v>0.14461011993117601</v>
      </c>
      <c r="I95" s="72">
        <f>I94/H94-1</f>
        <v>3.2139311252663338E-2</v>
      </c>
      <c r="J95" s="72">
        <f>J94/I94-1</f>
        <v>-1.6450141587946665E-2</v>
      </c>
      <c r="K95" s="72">
        <f>K94/J94-1</f>
        <v>-3.2010989010988977E-2</v>
      </c>
      <c r="L95" s="24"/>
      <c r="M95" s="72">
        <f>M94/K94-1</f>
        <v>4.6885465505692725E-3</v>
      </c>
      <c r="N95" s="72">
        <f>N94/M94-1</f>
        <v>4.5197740112994378E-2</v>
      </c>
      <c r="O95" s="72">
        <f>O94/N94-1</f>
        <v>-0.11351351351351346</v>
      </c>
      <c r="P95" s="72">
        <f>P94/O94-1</f>
        <v>0.33231707317073167</v>
      </c>
      <c r="Q95" s="24"/>
      <c r="R95" s="72">
        <f>R94/P94-1</f>
        <v>-0.28375286041189929</v>
      </c>
      <c r="S95" s="72">
        <f>S94/R94-1</f>
        <v>0.29712460063897761</v>
      </c>
      <c r="T95" s="72">
        <f>T94/S94-1</f>
        <v>-7.8817733990147798E-2</v>
      </c>
      <c r="U95" s="72">
        <f>U94/T94-1</f>
        <v>0.45454545454545459</v>
      </c>
      <c r="V95" s="24"/>
      <c r="W95" s="72">
        <f>W94/U94-1</f>
        <v>-0.2408088235294118</v>
      </c>
      <c r="X95" s="72">
        <f>X94/W94-1</f>
        <v>-0.12832929782082325</v>
      </c>
      <c r="Y95" s="72">
        <f>Y94/X94-1</f>
        <v>-0.25</v>
      </c>
      <c r="Z95" s="72">
        <f>Z94/Y94-1</f>
        <v>-0.28888888888888886</v>
      </c>
      <c r="AA95" s="24"/>
      <c r="AB95" s="72">
        <f>AB94/Z94-1</f>
        <v>0.28125</v>
      </c>
      <c r="AC95" s="72">
        <f>AC94/AB94-1</f>
        <v>-0.27642276422764223</v>
      </c>
      <c r="AD95" s="72">
        <f>AD94/AC94-1</f>
        <v>0.5</v>
      </c>
      <c r="AE95" s="72">
        <f>AE94/AD94-1</f>
        <v>-0.15730337078651691</v>
      </c>
      <c r="AF95" s="24"/>
      <c r="AG95" s="72">
        <f>AG94/AE94-1</f>
        <v>0.27111111111111108</v>
      </c>
      <c r="AH95" s="72">
        <f>AH94/AG94-1</f>
        <v>-3.1468531468531458E-2</v>
      </c>
      <c r="AI95" s="72">
        <f>AI94/AH94-1</f>
        <v>-9.7472924187725685E-2</v>
      </c>
      <c r="AJ95" s="72">
        <f>AJ94/AI94-1</f>
        <v>-7.1999999999999953E-2</v>
      </c>
      <c r="AK95" s="24"/>
      <c r="AL95" s="72">
        <v>0.53017241379310343</v>
      </c>
      <c r="AM95" s="72">
        <v>0.20281690140845066</v>
      </c>
      <c r="AN95" s="72">
        <v>-5.1522248243559665E-2</v>
      </c>
      <c r="AO95" s="72">
        <v>-0.26666666666666672</v>
      </c>
      <c r="AP95" s="24"/>
      <c r="AQ95" s="72">
        <v>2.020202020202011E-2</v>
      </c>
      <c r="AR95" s="72">
        <v>9.2409240924092417E-2</v>
      </c>
      <c r="AS95" s="72">
        <v>-1.8126888217522619E-2</v>
      </c>
      <c r="AT95" s="72">
        <v>-1.8461538461538418E-2</v>
      </c>
      <c r="AU95" s="24"/>
      <c r="AV95" s="72">
        <v>0.15987460815047028</v>
      </c>
      <c r="AW95" s="72">
        <v>4.8648648648648596E-2</v>
      </c>
      <c r="AX95" s="72">
        <v>-0.21391752577319589</v>
      </c>
      <c r="AY95" s="72">
        <v>0.20983606557377055</v>
      </c>
      <c r="AZ95" s="24"/>
      <c r="BA95" s="72">
        <v>-2.4390243902439046E-2</v>
      </c>
    </row>
    <row r="96" spans="1:53" ht="13.5" customHeight="1">
      <c r="A96" s="71" t="s">
        <v>8</v>
      </c>
      <c r="B96" s="24"/>
      <c r="C96" s="73"/>
      <c r="D96" s="73"/>
      <c r="E96" s="73"/>
      <c r="F96" s="73"/>
      <c r="G96" s="24">
        <f t="shared" ref="G96:N96" si="140">G94/B94-1</f>
        <v>0.69986985081957154</v>
      </c>
      <c r="H96" s="73">
        <f t="shared" si="140"/>
        <v>0.58937943262411352</v>
      </c>
      <c r="I96" s="73">
        <f t="shared" si="140"/>
        <v>0.15491533674940539</v>
      </c>
      <c r="J96" s="73">
        <f t="shared" si="140"/>
        <v>-0.30686470532228882</v>
      </c>
      <c r="K96" s="73">
        <f t="shared" si="140"/>
        <v>0.1247673679943051</v>
      </c>
      <c r="L96" s="24">
        <f t="shared" si="140"/>
        <v>4.3728994502545637E-2</v>
      </c>
      <c r="M96" s="73">
        <f t="shared" si="140"/>
        <v>-1.2728550551644902E-2</v>
      </c>
      <c r="N96" s="73">
        <f t="shared" si="140"/>
        <v>-2.3778128445128832E-4</v>
      </c>
      <c r="O96" s="73">
        <f t="shared" ref="O96:Y96" si="141">O94/J94-1</f>
        <v>-9.8901098901098883E-2</v>
      </c>
      <c r="P96" s="73">
        <f t="shared" si="141"/>
        <v>0.24025111537457278</v>
      </c>
      <c r="Q96" s="24">
        <f t="shared" si="141"/>
        <v>3.04498269896194E-2</v>
      </c>
      <c r="R96" s="73">
        <f t="shared" si="141"/>
        <v>-0.11581920903954801</v>
      </c>
      <c r="S96" s="73">
        <f t="shared" si="141"/>
        <v>9.7297297297297192E-2</v>
      </c>
      <c r="T96" s="73">
        <f t="shared" si="141"/>
        <v>0.14024390243902429</v>
      </c>
      <c r="U96" s="73">
        <f t="shared" si="141"/>
        <v>0.24485125858123569</v>
      </c>
      <c r="V96" s="24">
        <f t="shared" si="141"/>
        <v>9.9395567494963144E-2</v>
      </c>
      <c r="W96" s="73">
        <f t="shared" si="141"/>
        <v>0.31948881789137373</v>
      </c>
      <c r="X96" s="73">
        <f t="shared" si="141"/>
        <v>-0.11330049261083741</v>
      </c>
      <c r="Y96" s="73">
        <f t="shared" si="141"/>
        <v>-0.27807486631016043</v>
      </c>
      <c r="Z96" s="73">
        <f t="shared" ref="Z96:AI96" si="142">Z94/U94-1</f>
        <v>-0.64705882352941169</v>
      </c>
      <c r="AA96" s="24">
        <f t="shared" si="142"/>
        <v>-0.2455711667684789</v>
      </c>
      <c r="AB96" s="73">
        <f t="shared" si="142"/>
        <v>-0.40435835351089588</v>
      </c>
      <c r="AC96" s="73">
        <f t="shared" si="142"/>
        <v>-0.50555555555555554</v>
      </c>
      <c r="AD96" s="73">
        <f t="shared" si="142"/>
        <v>-1.1111111111111072E-2</v>
      </c>
      <c r="AE96" s="73">
        <f t="shared" si="142"/>
        <v>0.171875</v>
      </c>
      <c r="AF96" s="24">
        <f t="shared" si="142"/>
        <v>-0.25829959514170042</v>
      </c>
      <c r="AG96" s="73">
        <f t="shared" si="142"/>
        <v>0.16260162601626016</v>
      </c>
      <c r="AH96" s="73">
        <f t="shared" si="142"/>
        <v>0.55617977528089879</v>
      </c>
      <c r="AI96" s="73">
        <f t="shared" si="142"/>
        <v>-6.3670411985018771E-2</v>
      </c>
      <c r="AJ96" s="73">
        <f t="shared" ref="AJ96:AS96" si="143">AJ94/AE94-1</f>
        <v>3.1111111111111089E-2</v>
      </c>
      <c r="AK96" s="24">
        <v>0.14082969432314418</v>
      </c>
      <c r="AL96" s="73">
        <v>0.24125874125874125</v>
      </c>
      <c r="AM96" s="73">
        <v>0.54151624548736454</v>
      </c>
      <c r="AN96" s="73">
        <v>0.62000000000000011</v>
      </c>
      <c r="AO96" s="73">
        <v>0.28017241379310343</v>
      </c>
      <c r="AP96" s="24">
        <v>0.4200956937799043</v>
      </c>
      <c r="AQ96" s="73">
        <v>-0.14647887323943665</v>
      </c>
      <c r="AR96" s="73">
        <v>-0.22482435597189698</v>
      </c>
      <c r="AS96" s="73">
        <v>-0.19753086419753085</v>
      </c>
      <c r="AT96" s="73">
        <v>7.4074074074074181E-2</v>
      </c>
      <c r="AU96" s="24">
        <v>-0.13881401617250677</v>
      </c>
      <c r="AV96" s="73">
        <v>0.22112211221122102</v>
      </c>
      <c r="AW96" s="73">
        <v>0.17220543806646527</v>
      </c>
      <c r="AX96" s="73">
        <v>-6.1538461538461542E-2</v>
      </c>
      <c r="AY96" s="73">
        <v>0.15673981191222564</v>
      </c>
      <c r="AZ96" s="24">
        <v>0.12050078247261342</v>
      </c>
      <c r="BA96" s="73">
        <v>-2.7027027027026973E-2</v>
      </c>
    </row>
    <row r="97" spans="1:53" ht="13.5" customHeight="1">
      <c r="A97" s="69" t="s">
        <v>274</v>
      </c>
      <c r="B97" s="24"/>
      <c r="C97" s="73"/>
      <c r="D97" s="73"/>
      <c r="E97" s="73"/>
      <c r="F97" s="73"/>
      <c r="G97" s="24"/>
      <c r="H97" s="73"/>
      <c r="I97" s="73"/>
      <c r="J97" s="73"/>
      <c r="K97" s="73"/>
      <c r="L97" s="24"/>
      <c r="M97" s="73"/>
      <c r="N97" s="73"/>
      <c r="O97" s="73"/>
      <c r="P97" s="73"/>
      <c r="Q97" s="24"/>
      <c r="R97" s="73"/>
      <c r="S97" s="73"/>
      <c r="T97" s="73"/>
      <c r="U97" s="73"/>
      <c r="V97" s="24"/>
      <c r="W97" s="73"/>
      <c r="X97" s="73"/>
      <c r="Y97" s="73"/>
      <c r="Z97" s="73"/>
      <c r="AA97" s="24"/>
      <c r="AB97" s="73"/>
      <c r="AC97" s="73"/>
      <c r="AD97" s="73"/>
      <c r="AE97" s="73"/>
      <c r="AF97" s="24"/>
      <c r="AG97" s="73"/>
      <c r="AH97" s="73"/>
      <c r="AI97" s="73"/>
      <c r="AJ97" s="73"/>
      <c r="AK97" s="24"/>
      <c r="AL97" s="73"/>
      <c r="AM97" s="73"/>
      <c r="AN97" s="73"/>
      <c r="AO97" s="73"/>
      <c r="AP97" s="24"/>
      <c r="AQ97" s="73"/>
      <c r="AR97" s="73"/>
      <c r="AS97" s="73"/>
      <c r="AT97" s="73"/>
      <c r="AU97" s="24"/>
      <c r="AV97" s="73"/>
      <c r="AW97" s="73"/>
      <c r="AX97" s="73"/>
      <c r="AY97" s="73"/>
      <c r="AZ97" s="24"/>
      <c r="BA97" s="70">
        <v>126</v>
      </c>
    </row>
    <row r="98" spans="1:53" ht="7.5" customHeight="1">
      <c r="A98" s="71"/>
      <c r="B98" s="24"/>
      <c r="C98" s="73"/>
      <c r="D98" s="73"/>
      <c r="E98" s="73"/>
      <c r="F98" s="73"/>
      <c r="G98" s="24"/>
      <c r="H98" s="73"/>
      <c r="I98" s="73"/>
      <c r="J98" s="73"/>
      <c r="K98" s="73"/>
      <c r="L98" s="24"/>
      <c r="M98" s="73"/>
      <c r="N98" s="73"/>
      <c r="O98" s="73"/>
      <c r="P98" s="73"/>
      <c r="Q98" s="24"/>
      <c r="R98" s="73"/>
      <c r="S98" s="73"/>
      <c r="T98" s="73"/>
      <c r="U98" s="73"/>
      <c r="V98" s="24"/>
      <c r="W98" s="73"/>
      <c r="X98" s="73"/>
      <c r="Y98" s="73"/>
      <c r="Z98" s="73"/>
      <c r="AA98" s="24"/>
      <c r="AB98" s="73"/>
      <c r="AC98" s="73"/>
      <c r="AD98" s="73"/>
      <c r="AE98" s="73"/>
      <c r="AF98" s="24"/>
      <c r="AG98" s="73"/>
      <c r="AH98" s="73"/>
      <c r="AI98" s="73"/>
      <c r="AJ98" s="73"/>
      <c r="AK98" s="24"/>
      <c r="AL98" s="73"/>
      <c r="AM98" s="73"/>
      <c r="AN98" s="73"/>
      <c r="AO98" s="73"/>
      <c r="AP98" s="24"/>
      <c r="AQ98" s="73"/>
      <c r="AR98" s="73"/>
      <c r="AS98" s="73"/>
      <c r="AT98" s="73"/>
      <c r="AU98" s="24"/>
      <c r="AV98" s="73"/>
      <c r="AW98" s="73"/>
      <c r="AX98" s="73"/>
      <c r="AY98" s="73"/>
      <c r="AZ98" s="24"/>
      <c r="BA98" s="73"/>
    </row>
    <row r="99" spans="1:53" ht="13.5" customHeight="1">
      <c r="A99" s="69" t="s">
        <v>55</v>
      </c>
      <c r="B99" s="37">
        <f>B82-B94</f>
        <v>1882.675</v>
      </c>
      <c r="C99" s="77">
        <f>C82-C94</f>
        <v>308.29999999999995</v>
      </c>
      <c r="D99" s="77">
        <f>D82-D94</f>
        <v>406.18399999999997</v>
      </c>
      <c r="E99" s="77">
        <f>E82-E94</f>
        <v>589.61700000000008</v>
      </c>
      <c r="F99" s="70">
        <f>G99-E99-D99-C99</f>
        <v>379.41300000000001</v>
      </c>
      <c r="G99" s="37">
        <f>G82-G94</f>
        <v>1683.5139999999999</v>
      </c>
      <c r="H99" s="77">
        <f>H82-H94</f>
        <v>775.75099999999998</v>
      </c>
      <c r="I99" s="77">
        <f>I82-I94</f>
        <v>344.536</v>
      </c>
      <c r="J99" s="77">
        <f>J82-J94</f>
        <v>657</v>
      </c>
      <c r="K99" s="70">
        <f>L99-J99-I99-H99</f>
        <v>432.71299999999997</v>
      </c>
      <c r="L99" s="37">
        <f>L82-L94</f>
        <v>2210</v>
      </c>
      <c r="M99" s="77">
        <f>M82-M94</f>
        <v>452</v>
      </c>
      <c r="N99" s="77">
        <f>N82-N94</f>
        <v>606</v>
      </c>
      <c r="O99" s="77">
        <f>O82-O94</f>
        <v>838</v>
      </c>
      <c r="P99" s="70">
        <f>Q99-O99-N99-M99</f>
        <v>311</v>
      </c>
      <c r="Q99" s="37">
        <f>Q82-Q94</f>
        <v>2207</v>
      </c>
      <c r="R99" s="77">
        <f>R82-R94</f>
        <v>462</v>
      </c>
      <c r="S99" s="77">
        <f>S82-S94</f>
        <v>264</v>
      </c>
      <c r="T99" s="77">
        <f>T82-T94</f>
        <v>508</v>
      </c>
      <c r="U99" s="70">
        <f>V99-T99-S99-R99</f>
        <v>315</v>
      </c>
      <c r="V99" s="37">
        <f>V82-V94</f>
        <v>1549</v>
      </c>
      <c r="W99" s="77">
        <f>W82-W94</f>
        <v>585</v>
      </c>
      <c r="X99" s="77">
        <f>X82-X94</f>
        <v>630</v>
      </c>
      <c r="Y99" s="77">
        <f>Y82-Y94</f>
        <v>754</v>
      </c>
      <c r="Z99" s="70">
        <f>AA99-Y99-X99-W99</f>
        <v>810</v>
      </c>
      <c r="AA99" s="37">
        <f>AA82-AA94</f>
        <v>2779</v>
      </c>
      <c r="AB99" s="77">
        <f>AB82-AB94</f>
        <v>726</v>
      </c>
      <c r="AC99" s="77">
        <f>AC82-AC94</f>
        <v>924</v>
      </c>
      <c r="AD99" s="77">
        <f>AD82-AD94</f>
        <v>876</v>
      </c>
      <c r="AE99" s="70">
        <f>AF99-AD99-AC99-AB99</f>
        <v>710</v>
      </c>
      <c r="AF99" s="37">
        <f>AF82-AF94</f>
        <v>3236</v>
      </c>
      <c r="AG99" s="77">
        <f>AG82-AG94</f>
        <v>757</v>
      </c>
      <c r="AH99" s="77">
        <f>AH82-AH94</f>
        <v>787</v>
      </c>
      <c r="AI99" s="77">
        <f>AI82-AI94</f>
        <v>700</v>
      </c>
      <c r="AJ99" s="70">
        <f>AK99-AI99-AH99-AG99</f>
        <v>507</v>
      </c>
      <c r="AK99" s="37">
        <v>2751</v>
      </c>
      <c r="AL99" s="77">
        <v>606</v>
      </c>
      <c r="AM99" s="77">
        <v>413</v>
      </c>
      <c r="AN99" s="77">
        <v>645</v>
      </c>
      <c r="AO99" s="70">
        <v>592</v>
      </c>
      <c r="AP99" s="37">
        <v>2256</v>
      </c>
      <c r="AQ99" s="77">
        <v>619</v>
      </c>
      <c r="AR99" s="77">
        <v>539</v>
      </c>
      <c r="AS99" s="77">
        <v>577</v>
      </c>
      <c r="AT99" s="70">
        <v>513</v>
      </c>
      <c r="AU99" s="37">
        <v>2248</v>
      </c>
      <c r="AV99" s="77">
        <v>456</v>
      </c>
      <c r="AW99" s="77">
        <v>487</v>
      </c>
      <c r="AX99" s="77">
        <v>677</v>
      </c>
      <c r="AY99" s="70">
        <v>473</v>
      </c>
      <c r="AZ99" s="37">
        <v>2093</v>
      </c>
      <c r="BA99" s="77">
        <v>423</v>
      </c>
    </row>
    <row r="100" spans="1:53" ht="13.5" customHeight="1">
      <c r="A100" s="71" t="s">
        <v>7</v>
      </c>
      <c r="B100" s="24"/>
      <c r="C100" s="72"/>
      <c r="D100" s="72">
        <f>D99/C99-1</f>
        <v>0.3174959455076225</v>
      </c>
      <c r="E100" s="72">
        <f>E99/D99-1</f>
        <v>0.45160075236838515</v>
      </c>
      <c r="F100" s="72">
        <f>F99/E99-1</f>
        <v>-0.35650939508189217</v>
      </c>
      <c r="G100" s="24"/>
      <c r="H100" s="72">
        <f>H99/F99-1</f>
        <v>1.0446083818951908</v>
      </c>
      <c r="I100" s="72">
        <f>I99/H99-1</f>
        <v>-0.55586779778562967</v>
      </c>
      <c r="J100" s="72">
        <f>J99/I99-1</f>
        <v>0.90691248519748302</v>
      </c>
      <c r="K100" s="72">
        <f>K99/J99-1</f>
        <v>-0.34138051750380527</v>
      </c>
      <c r="L100" s="24"/>
      <c r="M100" s="72">
        <f>M99/K99-1</f>
        <v>4.4572268455073116E-2</v>
      </c>
      <c r="N100" s="72">
        <f>N99/M99-1</f>
        <v>0.34070796460176989</v>
      </c>
      <c r="O100" s="72">
        <f>O99/N99-1</f>
        <v>0.38283828382838281</v>
      </c>
      <c r="P100" s="72">
        <f>P99/O99-1</f>
        <v>-0.62887828162291171</v>
      </c>
      <c r="Q100" s="24"/>
      <c r="R100" s="72">
        <f>R99/P99-1</f>
        <v>0.48553054662379425</v>
      </c>
      <c r="S100" s="72">
        <f>S99/R99-1</f>
        <v>-0.4285714285714286</v>
      </c>
      <c r="T100" s="72">
        <f>T99/S99-1</f>
        <v>0.92424242424242431</v>
      </c>
      <c r="U100" s="72">
        <f>U99/T99-1</f>
        <v>-0.37992125984251968</v>
      </c>
      <c r="V100" s="24"/>
      <c r="W100" s="72">
        <f>W99/U99-1</f>
        <v>0.85714285714285721</v>
      </c>
      <c r="X100" s="72">
        <f>X99/W99-1</f>
        <v>7.6923076923076872E-2</v>
      </c>
      <c r="Y100" s="72">
        <f>Y99/X99-1</f>
        <v>0.19682539682539679</v>
      </c>
      <c r="Z100" s="72">
        <f>Z99/Y99-1</f>
        <v>7.4270557029177731E-2</v>
      </c>
      <c r="AA100" s="24"/>
      <c r="AB100" s="72">
        <f>AB99/Z99-1</f>
        <v>-0.10370370370370374</v>
      </c>
      <c r="AC100" s="72">
        <f>AC99/AB99-1</f>
        <v>0.27272727272727271</v>
      </c>
      <c r="AD100" s="72">
        <f>AD99/AC99-1</f>
        <v>-5.1948051948051965E-2</v>
      </c>
      <c r="AE100" s="72">
        <f>AE99/AD99-1</f>
        <v>-0.18949771689497719</v>
      </c>
      <c r="AF100" s="24"/>
      <c r="AG100" s="72">
        <f>AG99/AE99-1</f>
        <v>6.6197183098591461E-2</v>
      </c>
      <c r="AH100" s="72">
        <f>AH99/AG99-1</f>
        <v>3.9630118890356725E-2</v>
      </c>
      <c r="AI100" s="72">
        <f>AI99/AH99-1</f>
        <v>-0.11054637865311312</v>
      </c>
      <c r="AJ100" s="72">
        <f>AJ99/AI99-1</f>
        <v>-0.27571428571428569</v>
      </c>
      <c r="AK100" s="24"/>
      <c r="AL100" s="72">
        <v>0.19526627218934922</v>
      </c>
      <c r="AM100" s="72">
        <v>-0.31848184818481851</v>
      </c>
      <c r="AN100" s="72">
        <v>0.56174334140435844</v>
      </c>
      <c r="AO100" s="72">
        <v>-8.2170542635658927E-2</v>
      </c>
      <c r="AP100" s="24"/>
      <c r="AQ100" s="72">
        <v>4.5608108108108114E-2</v>
      </c>
      <c r="AR100" s="72">
        <v>-0.12924071082390953</v>
      </c>
      <c r="AS100" s="72">
        <v>7.0500927643784683E-2</v>
      </c>
      <c r="AT100" s="72">
        <v>-0.1109185441941074</v>
      </c>
      <c r="AU100" s="24"/>
      <c r="AV100" s="72">
        <v>-0.11111111111111116</v>
      </c>
      <c r="AW100" s="72">
        <v>6.7982456140350811E-2</v>
      </c>
      <c r="AX100" s="72">
        <v>0.39014373716632433</v>
      </c>
      <c r="AY100" s="72">
        <v>-0.30132939438700146</v>
      </c>
      <c r="AZ100" s="24"/>
      <c r="BA100" s="72">
        <v>-0.10570824524312894</v>
      </c>
    </row>
    <row r="101" spans="1:53" ht="13.5" customHeight="1">
      <c r="A101" s="71" t="s">
        <v>8</v>
      </c>
      <c r="B101" s="24"/>
      <c r="C101" s="73"/>
      <c r="D101" s="73"/>
      <c r="E101" s="73"/>
      <c r="F101" s="73"/>
      <c r="G101" s="24">
        <f t="shared" ref="G101:N101" si="144">G99/B99-1</f>
        <v>-0.10578618189544131</v>
      </c>
      <c r="H101" s="73">
        <f t="shared" si="144"/>
        <v>1.5162212131041195</v>
      </c>
      <c r="I101" s="73">
        <f t="shared" si="144"/>
        <v>-0.15177358044630018</v>
      </c>
      <c r="J101" s="73">
        <f t="shared" si="144"/>
        <v>0.11428266145650468</v>
      </c>
      <c r="K101" s="73">
        <f t="shared" si="144"/>
        <v>0.14048016277776454</v>
      </c>
      <c r="L101" s="24">
        <f t="shared" si="144"/>
        <v>0.31273039606442254</v>
      </c>
      <c r="M101" s="73">
        <f t="shared" si="144"/>
        <v>-0.41733881103601544</v>
      </c>
      <c r="N101" s="73">
        <f t="shared" si="144"/>
        <v>0.75888731511366014</v>
      </c>
      <c r="O101" s="73">
        <f t="shared" ref="O101:Y101" si="145">O99/J99-1</f>
        <v>0.27549467275494677</v>
      </c>
      <c r="P101" s="73">
        <f t="shared" si="145"/>
        <v>-0.2812788152886555</v>
      </c>
      <c r="Q101" s="24">
        <f t="shared" si="145"/>
        <v>-1.3574660633484115E-3</v>
      </c>
      <c r="R101" s="73">
        <f t="shared" si="145"/>
        <v>2.2123893805309658E-2</v>
      </c>
      <c r="S101" s="73">
        <f t="shared" si="145"/>
        <v>-0.56435643564356441</v>
      </c>
      <c r="T101" s="73">
        <f t="shared" si="145"/>
        <v>-0.39379474940334125</v>
      </c>
      <c r="U101" s="73">
        <f t="shared" si="145"/>
        <v>1.2861736334405238E-2</v>
      </c>
      <c r="V101" s="24">
        <f t="shared" si="145"/>
        <v>-0.29814227458087905</v>
      </c>
      <c r="W101" s="73">
        <f t="shared" si="145"/>
        <v>0.26623376623376616</v>
      </c>
      <c r="X101" s="73">
        <f t="shared" si="145"/>
        <v>1.3863636363636362</v>
      </c>
      <c r="Y101" s="73">
        <f t="shared" si="145"/>
        <v>0.48425196850393704</v>
      </c>
      <c r="Z101" s="73">
        <f t="shared" ref="Z101:AI101" si="146">Z99/U99-1</f>
        <v>1.5714285714285716</v>
      </c>
      <c r="AA101" s="24">
        <f t="shared" si="146"/>
        <v>0.79406068431245957</v>
      </c>
      <c r="AB101" s="73">
        <f t="shared" si="146"/>
        <v>0.24102564102564106</v>
      </c>
      <c r="AC101" s="73">
        <f t="shared" si="146"/>
        <v>0.46666666666666656</v>
      </c>
      <c r="AD101" s="73">
        <f t="shared" si="146"/>
        <v>0.16180371352785139</v>
      </c>
      <c r="AE101" s="73">
        <f t="shared" si="146"/>
        <v>-0.12345679012345678</v>
      </c>
      <c r="AF101" s="24">
        <f t="shared" si="146"/>
        <v>0.16444764303706361</v>
      </c>
      <c r="AG101" s="73">
        <f t="shared" si="146"/>
        <v>4.2699724517906379E-2</v>
      </c>
      <c r="AH101" s="73">
        <f t="shared" si="146"/>
        <v>-0.14826839826839822</v>
      </c>
      <c r="AI101" s="73">
        <f t="shared" si="146"/>
        <v>-0.20091324200913241</v>
      </c>
      <c r="AJ101" s="73">
        <f t="shared" ref="AJ101:AS101" si="147">AJ99/AE99-1</f>
        <v>-0.28591549295774643</v>
      </c>
      <c r="AK101" s="24">
        <v>-0.14987639060568603</v>
      </c>
      <c r="AL101" s="73">
        <v>-0.19947159841479523</v>
      </c>
      <c r="AM101" s="73">
        <v>-0.47522236340533675</v>
      </c>
      <c r="AN101" s="73">
        <v>-7.8571428571428625E-2</v>
      </c>
      <c r="AO101" s="73">
        <v>0.16765285996055224</v>
      </c>
      <c r="AP101" s="24">
        <v>-0.17993456924754636</v>
      </c>
      <c r="AQ101" s="73">
        <v>2.1452145214521545E-2</v>
      </c>
      <c r="AR101" s="73">
        <v>0.30508474576271194</v>
      </c>
      <c r="AS101" s="73">
        <v>-0.10542635658914734</v>
      </c>
      <c r="AT101" s="73">
        <v>-0.13344594594594594</v>
      </c>
      <c r="AU101" s="24">
        <v>-3.5460992907800915E-3</v>
      </c>
      <c r="AV101" s="73">
        <v>-0.26332794830371564</v>
      </c>
      <c r="AW101" s="73">
        <v>-9.6474953617810777E-2</v>
      </c>
      <c r="AX101" s="73">
        <v>0.17331022530329299</v>
      </c>
      <c r="AY101" s="73">
        <v>-7.7972709551656916E-2</v>
      </c>
      <c r="AZ101" s="24">
        <v>-6.8950177935943047E-2</v>
      </c>
      <c r="BA101" s="73">
        <v>-7.2368421052631526E-2</v>
      </c>
    </row>
    <row r="102" spans="1:53" ht="13.5" customHeight="1">
      <c r="A102" s="40" t="s">
        <v>255</v>
      </c>
      <c r="B102" s="41"/>
      <c r="C102" s="49"/>
      <c r="D102" s="49"/>
      <c r="E102" s="49"/>
      <c r="F102" s="49"/>
      <c r="G102" s="41"/>
      <c r="H102" s="49"/>
      <c r="I102" s="49"/>
      <c r="J102" s="49"/>
      <c r="K102" s="49"/>
      <c r="L102" s="41"/>
      <c r="M102" s="49"/>
      <c r="N102" s="49"/>
      <c r="O102" s="49"/>
      <c r="P102" s="49"/>
      <c r="Q102" s="41"/>
      <c r="R102" s="49"/>
      <c r="S102" s="49"/>
      <c r="T102" s="49"/>
      <c r="U102" s="49"/>
      <c r="V102" s="41"/>
      <c r="W102" s="49"/>
      <c r="X102" s="49"/>
      <c r="Y102" s="49"/>
      <c r="Z102" s="49"/>
      <c r="AA102" s="41"/>
      <c r="AB102" s="49"/>
      <c r="AC102" s="49"/>
      <c r="AD102" s="49"/>
      <c r="AE102" s="49"/>
      <c r="AF102" s="41"/>
      <c r="AG102" s="49"/>
      <c r="AH102" s="49"/>
      <c r="AI102" s="49"/>
      <c r="AJ102" s="49"/>
      <c r="AK102" s="41"/>
      <c r="AL102" s="49"/>
      <c r="AM102" s="49"/>
      <c r="AN102" s="49"/>
      <c r="AO102" s="49"/>
      <c r="AP102" s="41"/>
      <c r="AQ102" s="49"/>
      <c r="AR102" s="49"/>
      <c r="AS102" s="49"/>
      <c r="AT102" s="49"/>
      <c r="AU102" s="41"/>
      <c r="AV102" s="49"/>
      <c r="AW102" s="49"/>
      <c r="AX102" s="49"/>
      <c r="AY102" s="49"/>
      <c r="AZ102" s="41"/>
      <c r="BA102" s="49"/>
    </row>
    <row r="103" spans="1:53" ht="13.5" customHeight="1">
      <c r="A103" s="69" t="s">
        <v>178</v>
      </c>
      <c r="B103" s="123" t="s">
        <v>45</v>
      </c>
      <c r="C103" s="80" t="s">
        <v>53</v>
      </c>
      <c r="D103" s="80" t="s">
        <v>53</v>
      </c>
      <c r="E103" s="80" t="s">
        <v>53</v>
      </c>
      <c r="F103" s="80" t="s">
        <v>53</v>
      </c>
      <c r="G103" s="123" t="s">
        <v>45</v>
      </c>
      <c r="H103" s="80" t="s">
        <v>53</v>
      </c>
      <c r="I103" s="80" t="s">
        <v>53</v>
      </c>
      <c r="J103" s="80" t="s">
        <v>53</v>
      </c>
      <c r="K103" s="80" t="s">
        <v>53</v>
      </c>
      <c r="L103" s="123" t="s">
        <v>45</v>
      </c>
      <c r="M103" s="80" t="s">
        <v>53</v>
      </c>
      <c r="N103" s="80" t="s">
        <v>53</v>
      </c>
      <c r="O103" s="80" t="s">
        <v>53</v>
      </c>
      <c r="P103" s="80" t="s">
        <v>53</v>
      </c>
      <c r="Q103" s="171">
        <v>-300</v>
      </c>
      <c r="R103" s="80" t="s">
        <v>53</v>
      </c>
      <c r="S103" s="80" t="s">
        <v>53</v>
      </c>
      <c r="T103" s="80" t="s">
        <v>53</v>
      </c>
      <c r="U103" s="80" t="s">
        <v>53</v>
      </c>
      <c r="V103" s="171">
        <v>-756</v>
      </c>
      <c r="W103" s="80" t="s">
        <v>53</v>
      </c>
      <c r="X103" s="80" t="s">
        <v>53</v>
      </c>
      <c r="Y103" s="80" t="s">
        <v>53</v>
      </c>
      <c r="Z103" s="80" t="s">
        <v>53</v>
      </c>
      <c r="AA103" s="171">
        <v>505</v>
      </c>
      <c r="AB103" s="80" t="s">
        <v>53</v>
      </c>
      <c r="AC103" s="80" t="s">
        <v>53</v>
      </c>
      <c r="AD103" s="80" t="s">
        <v>53</v>
      </c>
      <c r="AE103" s="80" t="s">
        <v>53</v>
      </c>
      <c r="AF103" s="171">
        <v>646</v>
      </c>
      <c r="AG103" s="80" t="s">
        <v>53</v>
      </c>
      <c r="AH103" s="80" t="s">
        <v>53</v>
      </c>
      <c r="AI103" s="80" t="s">
        <v>53</v>
      </c>
      <c r="AJ103" s="80" t="s">
        <v>53</v>
      </c>
      <c r="AK103" s="171">
        <v>549</v>
      </c>
      <c r="AL103" s="152">
        <v>84</v>
      </c>
      <c r="AM103" s="152">
        <v>61</v>
      </c>
      <c r="AN103" s="152">
        <v>51</v>
      </c>
      <c r="AO103" s="152">
        <v>126</v>
      </c>
      <c r="AP103" s="171">
        <v>322</v>
      </c>
      <c r="AQ103" s="152">
        <v>-12</v>
      </c>
      <c r="AR103" s="152">
        <v>75</v>
      </c>
      <c r="AS103" s="152">
        <v>53</v>
      </c>
      <c r="AT103" s="152">
        <v>-10</v>
      </c>
      <c r="AU103" s="171">
        <v>106</v>
      </c>
      <c r="AV103" s="152">
        <v>-7</v>
      </c>
      <c r="AW103" s="152">
        <v>23</v>
      </c>
      <c r="AX103" s="152">
        <v>105</v>
      </c>
      <c r="AY103" s="152">
        <v>72</v>
      </c>
      <c r="AZ103" s="171">
        <v>193</v>
      </c>
      <c r="BA103" s="152">
        <v>74</v>
      </c>
    </row>
    <row r="104" spans="1:53" ht="13.5" customHeight="1">
      <c r="B104" s="65"/>
      <c r="C104" s="80"/>
      <c r="D104" s="80"/>
      <c r="E104" s="80"/>
      <c r="F104" s="80"/>
      <c r="G104" s="65"/>
      <c r="H104" s="80"/>
      <c r="I104" s="80"/>
      <c r="J104" s="80"/>
      <c r="K104" s="80"/>
      <c r="L104" s="65"/>
      <c r="M104" s="80"/>
      <c r="N104" s="80"/>
      <c r="O104" s="80"/>
      <c r="P104" s="80"/>
      <c r="Q104" s="65"/>
      <c r="R104" s="80"/>
      <c r="S104" s="80"/>
      <c r="T104" s="80"/>
      <c r="U104" s="80"/>
      <c r="V104" s="65"/>
      <c r="W104" s="80"/>
      <c r="X104" s="80"/>
      <c r="Y104" s="80"/>
      <c r="Z104" s="80"/>
      <c r="AA104" s="65"/>
      <c r="AB104" s="80"/>
      <c r="AC104" s="80"/>
      <c r="AD104" s="80"/>
      <c r="AE104" s="80"/>
      <c r="AF104" s="65"/>
      <c r="AG104" s="80"/>
      <c r="AH104" s="80"/>
      <c r="AI104" s="80"/>
      <c r="AJ104" s="80"/>
      <c r="AK104" s="65"/>
      <c r="AL104" s="70"/>
      <c r="AM104" s="70"/>
      <c r="AN104" s="70"/>
      <c r="AO104" s="70"/>
      <c r="AP104" s="65"/>
      <c r="AQ104" s="70"/>
      <c r="AR104" s="70"/>
      <c r="AS104" s="70"/>
      <c r="AT104" s="70"/>
      <c r="AU104" s="65"/>
      <c r="AV104" s="70"/>
      <c r="AW104" s="70"/>
      <c r="AX104" s="70"/>
      <c r="AY104" s="70"/>
      <c r="AZ104" s="65"/>
      <c r="BA104" s="70"/>
    </row>
    <row r="105" spans="1:53" ht="13.5" customHeight="1">
      <c r="A105" s="69" t="s">
        <v>179</v>
      </c>
      <c r="B105" s="123" t="s">
        <v>45</v>
      </c>
      <c r="C105" s="80" t="s">
        <v>53</v>
      </c>
      <c r="D105" s="80" t="s">
        <v>53</v>
      </c>
      <c r="E105" s="80" t="s">
        <v>53</v>
      </c>
      <c r="F105" s="80" t="s">
        <v>53</v>
      </c>
      <c r="G105" s="123" t="s">
        <v>45</v>
      </c>
      <c r="H105" s="80" t="s">
        <v>53</v>
      </c>
      <c r="I105" s="80" t="s">
        <v>53</v>
      </c>
      <c r="J105" s="80" t="s">
        <v>53</v>
      </c>
      <c r="K105" s="80" t="s">
        <v>53</v>
      </c>
      <c r="L105" s="123" t="s">
        <v>45</v>
      </c>
      <c r="M105" s="80" t="s">
        <v>53</v>
      </c>
      <c r="N105" s="80" t="s">
        <v>53</v>
      </c>
      <c r="O105" s="80" t="s">
        <v>53</v>
      </c>
      <c r="P105" s="80" t="s">
        <v>53</v>
      </c>
      <c r="Q105" s="171">
        <v>84</v>
      </c>
      <c r="R105" s="80" t="s">
        <v>53</v>
      </c>
      <c r="S105" s="80" t="s">
        <v>53</v>
      </c>
      <c r="T105" s="80" t="s">
        <v>53</v>
      </c>
      <c r="U105" s="80" t="s">
        <v>53</v>
      </c>
      <c r="V105" s="171">
        <v>-33</v>
      </c>
      <c r="W105" s="80" t="s">
        <v>53</v>
      </c>
      <c r="X105" s="80" t="s">
        <v>53</v>
      </c>
      <c r="Y105" s="80" t="s">
        <v>53</v>
      </c>
      <c r="Z105" s="80" t="s">
        <v>53</v>
      </c>
      <c r="AA105" s="171">
        <v>74</v>
      </c>
      <c r="AB105" s="80" t="s">
        <v>53</v>
      </c>
      <c r="AC105" s="80" t="s">
        <v>53</v>
      </c>
      <c r="AD105" s="80" t="s">
        <v>53</v>
      </c>
      <c r="AE105" s="80" t="s">
        <v>53</v>
      </c>
      <c r="AF105" s="171">
        <v>9</v>
      </c>
      <c r="AG105" s="80" t="s">
        <v>53</v>
      </c>
      <c r="AH105" s="80" t="s">
        <v>53</v>
      </c>
      <c r="AI105" s="80" t="s">
        <v>53</v>
      </c>
      <c r="AJ105" s="80" t="s">
        <v>53</v>
      </c>
      <c r="AK105" s="171">
        <v>28</v>
      </c>
      <c r="AL105" s="152">
        <v>9</v>
      </c>
      <c r="AM105" s="152">
        <v>-9</v>
      </c>
      <c r="AN105" s="152">
        <v>6</v>
      </c>
      <c r="AO105" s="152">
        <v>-26</v>
      </c>
      <c r="AP105" s="171">
        <v>-20</v>
      </c>
      <c r="AQ105" s="152">
        <v>-9</v>
      </c>
      <c r="AR105" s="152">
        <v>14</v>
      </c>
      <c r="AS105" s="152">
        <v>2</v>
      </c>
      <c r="AT105" s="152">
        <v>-27</v>
      </c>
      <c r="AU105" s="171">
        <v>-20</v>
      </c>
      <c r="AV105" s="152">
        <v>-20</v>
      </c>
      <c r="AW105" s="152">
        <v>8</v>
      </c>
      <c r="AX105" s="152">
        <v>2</v>
      </c>
      <c r="AY105" s="152">
        <v>-25</v>
      </c>
      <c r="AZ105" s="171">
        <v>-35</v>
      </c>
      <c r="BA105" s="152">
        <v>-5</v>
      </c>
    </row>
    <row r="106" spans="1:53" ht="13.5" customHeight="1">
      <c r="A106" s="71"/>
      <c r="B106" s="171"/>
      <c r="C106" s="80"/>
      <c r="D106" s="80"/>
      <c r="E106" s="80"/>
      <c r="F106" s="80"/>
      <c r="G106" s="171"/>
      <c r="H106" s="80"/>
      <c r="I106" s="80"/>
      <c r="J106" s="80"/>
      <c r="K106" s="80"/>
      <c r="L106" s="171"/>
      <c r="M106" s="80"/>
      <c r="N106" s="80"/>
      <c r="O106" s="80"/>
      <c r="P106" s="80"/>
      <c r="Q106" s="171"/>
      <c r="R106" s="80"/>
      <c r="S106" s="80"/>
      <c r="T106" s="80"/>
      <c r="U106" s="80"/>
      <c r="V106" s="171"/>
      <c r="W106" s="80"/>
      <c r="X106" s="80"/>
      <c r="Y106" s="80"/>
      <c r="Z106" s="80"/>
      <c r="AA106" s="171"/>
      <c r="AB106" s="80"/>
      <c r="AC106" s="80"/>
      <c r="AD106" s="80"/>
      <c r="AE106" s="80"/>
      <c r="AF106" s="171"/>
      <c r="AG106" s="80"/>
      <c r="AH106" s="80"/>
      <c r="AI106" s="80"/>
      <c r="AJ106" s="80"/>
      <c r="AK106" s="171"/>
      <c r="AL106" s="152"/>
      <c r="AM106" s="152"/>
      <c r="AN106" s="152"/>
      <c r="AO106" s="152"/>
      <c r="AP106" s="171"/>
      <c r="AQ106" s="152"/>
      <c r="AR106" s="152"/>
      <c r="AS106" s="152"/>
      <c r="AT106" s="152"/>
      <c r="AU106" s="171"/>
      <c r="AV106" s="152"/>
      <c r="AW106" s="152"/>
      <c r="AX106" s="152"/>
      <c r="AY106" s="152"/>
      <c r="AZ106" s="171"/>
      <c r="BA106" s="152"/>
    </row>
    <row r="107" spans="1:53" ht="13.5" customHeight="1">
      <c r="A107" s="69" t="s">
        <v>180</v>
      </c>
      <c r="B107" s="123" t="s">
        <v>45</v>
      </c>
      <c r="C107" s="80" t="s">
        <v>53</v>
      </c>
      <c r="D107" s="80" t="s">
        <v>53</v>
      </c>
      <c r="E107" s="80" t="s">
        <v>53</v>
      </c>
      <c r="F107" s="80" t="s">
        <v>53</v>
      </c>
      <c r="G107" s="123" t="s">
        <v>45</v>
      </c>
      <c r="H107" s="80" t="s">
        <v>53</v>
      </c>
      <c r="I107" s="80" t="s">
        <v>53</v>
      </c>
      <c r="J107" s="80" t="s">
        <v>53</v>
      </c>
      <c r="K107" s="80" t="s">
        <v>53</v>
      </c>
      <c r="L107" s="123" t="s">
        <v>45</v>
      </c>
      <c r="M107" s="80" t="s">
        <v>53</v>
      </c>
      <c r="N107" s="80" t="s">
        <v>53</v>
      </c>
      <c r="O107" s="80" t="s">
        <v>53</v>
      </c>
      <c r="P107" s="80" t="s">
        <v>53</v>
      </c>
      <c r="Q107" s="171">
        <v>-21</v>
      </c>
      <c r="R107" s="80" t="s">
        <v>53</v>
      </c>
      <c r="S107" s="80" t="s">
        <v>53</v>
      </c>
      <c r="T107" s="80" t="s">
        <v>53</v>
      </c>
      <c r="U107" s="80" t="s">
        <v>53</v>
      </c>
      <c r="V107" s="171">
        <v>-131</v>
      </c>
      <c r="W107" s="80" t="s">
        <v>53</v>
      </c>
      <c r="X107" s="80" t="s">
        <v>53</v>
      </c>
      <c r="Y107" s="80" t="s">
        <v>53</v>
      </c>
      <c r="Z107" s="80" t="s">
        <v>53</v>
      </c>
      <c r="AA107" s="171">
        <v>-233</v>
      </c>
      <c r="AB107" s="80" t="s">
        <v>53</v>
      </c>
      <c r="AC107" s="80" t="s">
        <v>53</v>
      </c>
      <c r="AD107" s="80" t="s">
        <v>53</v>
      </c>
      <c r="AE107" s="80" t="s">
        <v>53</v>
      </c>
      <c r="AF107" s="171">
        <v>27</v>
      </c>
      <c r="AG107" s="80" t="s">
        <v>53</v>
      </c>
      <c r="AH107" s="80" t="s">
        <v>53</v>
      </c>
      <c r="AI107" s="80" t="s">
        <v>53</v>
      </c>
      <c r="AJ107" s="80" t="s">
        <v>53</v>
      </c>
      <c r="AK107" s="171">
        <v>-39</v>
      </c>
      <c r="AL107" s="152">
        <v>-45</v>
      </c>
      <c r="AM107" s="152">
        <v>-150</v>
      </c>
      <c r="AN107" s="152">
        <v>21</v>
      </c>
      <c r="AO107" s="152">
        <v>-97</v>
      </c>
      <c r="AP107" s="171">
        <v>-271</v>
      </c>
      <c r="AQ107" s="152">
        <v>39</v>
      </c>
      <c r="AR107" s="152">
        <v>-137</v>
      </c>
      <c r="AS107" s="152">
        <v>-12</v>
      </c>
      <c r="AT107" s="152">
        <v>86</v>
      </c>
      <c r="AU107" s="171">
        <v>-24</v>
      </c>
      <c r="AV107" s="152">
        <v>-24</v>
      </c>
      <c r="AW107" s="152">
        <v>-15</v>
      </c>
      <c r="AX107" s="152">
        <v>103</v>
      </c>
      <c r="AY107" s="152">
        <v>-54</v>
      </c>
      <c r="AZ107" s="171">
        <v>10</v>
      </c>
      <c r="BA107" s="152">
        <v>42</v>
      </c>
    </row>
    <row r="108" spans="1:53" ht="13.5" customHeight="1">
      <c r="A108" s="71"/>
      <c r="B108" s="171"/>
      <c r="C108" s="80"/>
      <c r="D108" s="80"/>
      <c r="E108" s="80"/>
      <c r="F108" s="80"/>
      <c r="G108" s="171"/>
      <c r="H108" s="80"/>
      <c r="I108" s="80"/>
      <c r="J108" s="80"/>
      <c r="K108" s="80"/>
      <c r="L108" s="171"/>
      <c r="M108" s="80"/>
      <c r="N108" s="80"/>
      <c r="O108" s="80"/>
      <c r="P108" s="80"/>
      <c r="Q108" s="171"/>
      <c r="R108" s="80"/>
      <c r="S108" s="80"/>
      <c r="T108" s="80"/>
      <c r="U108" s="80"/>
      <c r="V108" s="171"/>
      <c r="W108" s="80"/>
      <c r="X108" s="80"/>
      <c r="Y108" s="80"/>
      <c r="Z108" s="80"/>
      <c r="AA108" s="171"/>
      <c r="AB108" s="80"/>
      <c r="AC108" s="80"/>
      <c r="AD108" s="80"/>
      <c r="AE108" s="80"/>
      <c r="AF108" s="171"/>
      <c r="AG108" s="80"/>
      <c r="AH108" s="80"/>
      <c r="AI108" s="80"/>
      <c r="AJ108" s="80"/>
      <c r="AK108" s="171"/>
      <c r="AL108" s="152"/>
      <c r="AM108" s="152"/>
      <c r="AN108" s="152"/>
      <c r="AO108" s="152"/>
      <c r="AP108" s="171"/>
      <c r="AQ108" s="152"/>
      <c r="AR108" s="152"/>
      <c r="AS108" s="152"/>
      <c r="AT108" s="152"/>
      <c r="AU108" s="171"/>
      <c r="AV108" s="152"/>
      <c r="AW108" s="152"/>
      <c r="AX108" s="152"/>
      <c r="AY108" s="152"/>
      <c r="AZ108" s="171"/>
      <c r="BA108" s="152"/>
    </row>
    <row r="109" spans="1:53" ht="15" customHeight="1">
      <c r="A109" s="69" t="s">
        <v>181</v>
      </c>
      <c r="B109" s="123" t="s">
        <v>45</v>
      </c>
      <c r="C109" s="80" t="s">
        <v>53</v>
      </c>
      <c r="D109" s="80" t="s">
        <v>53</v>
      </c>
      <c r="E109" s="80" t="s">
        <v>53</v>
      </c>
      <c r="F109" s="80" t="s">
        <v>53</v>
      </c>
      <c r="G109" s="123" t="s">
        <v>45</v>
      </c>
      <c r="H109" s="80" t="s">
        <v>53</v>
      </c>
      <c r="I109" s="80" t="s">
        <v>53</v>
      </c>
      <c r="J109" s="80" t="s">
        <v>53</v>
      </c>
      <c r="K109" s="80" t="s">
        <v>53</v>
      </c>
      <c r="L109" s="123" t="s">
        <v>45</v>
      </c>
      <c r="M109" s="80" t="s">
        <v>53</v>
      </c>
      <c r="N109" s="80" t="s">
        <v>53</v>
      </c>
      <c r="O109" s="80" t="s">
        <v>53</v>
      </c>
      <c r="P109" s="80" t="s">
        <v>53</v>
      </c>
      <c r="Q109" s="153">
        <v>-136</v>
      </c>
      <c r="R109" s="80" t="s">
        <v>53</v>
      </c>
      <c r="S109" s="80" t="s">
        <v>53</v>
      </c>
      <c r="T109" s="80" t="s">
        <v>53</v>
      </c>
      <c r="U109" s="80" t="s">
        <v>53</v>
      </c>
      <c r="V109" s="153">
        <v>-64</v>
      </c>
      <c r="W109" s="80" t="s">
        <v>53</v>
      </c>
      <c r="X109" s="80" t="s">
        <v>53</v>
      </c>
      <c r="Y109" s="80" t="s">
        <v>53</v>
      </c>
      <c r="Z109" s="80" t="s">
        <v>53</v>
      </c>
      <c r="AA109" s="153">
        <v>-34</v>
      </c>
      <c r="AB109" s="80" t="s">
        <v>53</v>
      </c>
      <c r="AC109" s="80" t="s">
        <v>53</v>
      </c>
      <c r="AD109" s="80" t="s">
        <v>53</v>
      </c>
      <c r="AE109" s="80" t="s">
        <v>53</v>
      </c>
      <c r="AF109" s="153">
        <v>-29</v>
      </c>
      <c r="AG109" s="80" t="s">
        <v>53</v>
      </c>
      <c r="AH109" s="80" t="s">
        <v>53</v>
      </c>
      <c r="AI109" s="80" t="s">
        <v>53</v>
      </c>
      <c r="AJ109" s="80" t="s">
        <v>53</v>
      </c>
      <c r="AK109" s="153">
        <v>-63</v>
      </c>
      <c r="AL109" s="152">
        <v>3</v>
      </c>
      <c r="AM109" s="152">
        <v>6</v>
      </c>
      <c r="AN109" s="152">
        <v>-3</v>
      </c>
      <c r="AO109" s="152">
        <v>12</v>
      </c>
      <c r="AP109" s="171">
        <v>18</v>
      </c>
      <c r="AQ109" s="151">
        <v>-12</v>
      </c>
      <c r="AR109" s="152">
        <v>3</v>
      </c>
      <c r="AS109" s="152">
        <v>-3</v>
      </c>
      <c r="AT109" s="152">
        <v>-7</v>
      </c>
      <c r="AU109" s="171">
        <v>-19</v>
      </c>
      <c r="AV109" s="151">
        <v>1</v>
      </c>
      <c r="AW109" s="151">
        <v>-2</v>
      </c>
      <c r="AX109" s="151">
        <v>16</v>
      </c>
      <c r="AY109" s="152">
        <v>0</v>
      </c>
      <c r="AZ109" s="171">
        <v>15</v>
      </c>
      <c r="BA109" s="151">
        <v>8</v>
      </c>
    </row>
    <row r="110" spans="1:53" ht="13.5" customHeight="1">
      <c r="A110" s="69"/>
      <c r="B110" s="171"/>
      <c r="C110" s="80"/>
      <c r="D110" s="80"/>
      <c r="E110" s="80"/>
      <c r="F110" s="80"/>
      <c r="G110" s="171"/>
      <c r="H110" s="80"/>
      <c r="I110" s="80"/>
      <c r="J110" s="80"/>
      <c r="K110" s="80"/>
      <c r="L110" s="171"/>
      <c r="M110" s="80"/>
      <c r="N110" s="80"/>
      <c r="O110" s="80"/>
      <c r="P110" s="80"/>
      <c r="Q110" s="171"/>
      <c r="R110" s="80"/>
      <c r="S110" s="80"/>
      <c r="T110" s="80"/>
      <c r="U110" s="80"/>
      <c r="V110" s="171"/>
      <c r="W110" s="80"/>
      <c r="X110" s="80"/>
      <c r="Y110" s="80"/>
      <c r="Z110" s="80"/>
      <c r="AA110" s="171"/>
      <c r="AB110" s="80"/>
      <c r="AC110" s="80"/>
      <c r="AD110" s="80"/>
      <c r="AE110" s="80"/>
      <c r="AF110" s="171"/>
      <c r="AG110" s="80"/>
      <c r="AH110" s="80"/>
      <c r="AI110" s="80"/>
      <c r="AJ110" s="80"/>
      <c r="AK110" s="171"/>
      <c r="AL110" s="152"/>
      <c r="AM110" s="152"/>
      <c r="AN110" s="152"/>
      <c r="AO110" s="152"/>
      <c r="AP110" s="171"/>
      <c r="AQ110" s="152"/>
      <c r="AR110" s="152"/>
      <c r="AS110" s="152"/>
      <c r="AT110" s="152"/>
      <c r="AU110" s="171"/>
      <c r="AV110" s="152"/>
      <c r="AW110" s="152"/>
      <c r="AX110" s="152"/>
      <c r="AY110" s="152"/>
      <c r="AZ110" s="171"/>
      <c r="BA110" s="152"/>
    </row>
    <row r="111" spans="1:53" ht="13.5" customHeight="1">
      <c r="A111" s="69" t="s">
        <v>182</v>
      </c>
      <c r="B111" s="123" t="s">
        <v>45</v>
      </c>
      <c r="C111" s="80" t="s">
        <v>53</v>
      </c>
      <c r="D111" s="80" t="s">
        <v>53</v>
      </c>
      <c r="E111" s="80" t="s">
        <v>53</v>
      </c>
      <c r="F111" s="80" t="s">
        <v>53</v>
      </c>
      <c r="G111" s="123" t="s">
        <v>45</v>
      </c>
      <c r="H111" s="80" t="s">
        <v>53</v>
      </c>
      <c r="I111" s="80" t="s">
        <v>53</v>
      </c>
      <c r="J111" s="80" t="s">
        <v>53</v>
      </c>
      <c r="K111" s="80" t="s">
        <v>53</v>
      </c>
      <c r="L111" s="123" t="s">
        <v>45</v>
      </c>
      <c r="M111" s="80" t="s">
        <v>53</v>
      </c>
      <c r="N111" s="80" t="s">
        <v>53</v>
      </c>
      <c r="O111" s="80" t="s">
        <v>53</v>
      </c>
      <c r="P111" s="80" t="s">
        <v>53</v>
      </c>
      <c r="Q111" s="153">
        <v>-215</v>
      </c>
      <c r="R111" s="80" t="s">
        <v>53</v>
      </c>
      <c r="S111" s="80" t="s">
        <v>53</v>
      </c>
      <c r="T111" s="80" t="s">
        <v>53</v>
      </c>
      <c r="U111" s="80" t="s">
        <v>53</v>
      </c>
      <c r="V111" s="153">
        <v>82</v>
      </c>
      <c r="W111" s="80" t="s">
        <v>53</v>
      </c>
      <c r="X111" s="80" t="s">
        <v>53</v>
      </c>
      <c r="Y111" s="80" t="s">
        <v>53</v>
      </c>
      <c r="Z111" s="80" t="s">
        <v>53</v>
      </c>
      <c r="AA111" s="171">
        <v>-140</v>
      </c>
      <c r="AB111" s="80" t="s">
        <v>53</v>
      </c>
      <c r="AC111" s="80" t="s">
        <v>53</v>
      </c>
      <c r="AD111" s="80" t="s">
        <v>53</v>
      </c>
      <c r="AE111" s="80" t="s">
        <v>53</v>
      </c>
      <c r="AF111" s="153">
        <v>2</v>
      </c>
      <c r="AG111" s="80" t="s">
        <v>53</v>
      </c>
      <c r="AH111" s="80" t="s">
        <v>53</v>
      </c>
      <c r="AI111" s="80" t="s">
        <v>53</v>
      </c>
      <c r="AJ111" s="80" t="s">
        <v>53</v>
      </c>
      <c r="AK111" s="171">
        <v>3</v>
      </c>
      <c r="AL111" s="152">
        <v>4</v>
      </c>
      <c r="AM111" s="152">
        <v>-3</v>
      </c>
      <c r="AN111" s="152">
        <v>-1</v>
      </c>
      <c r="AO111" s="152">
        <v>110</v>
      </c>
      <c r="AP111" s="171">
        <v>110</v>
      </c>
      <c r="AQ111" s="36">
        <v>1</v>
      </c>
      <c r="AR111" s="152">
        <v>-9</v>
      </c>
      <c r="AS111" s="152">
        <v>-92</v>
      </c>
      <c r="AT111" s="152">
        <v>35</v>
      </c>
      <c r="AU111" s="171">
        <v>-65</v>
      </c>
      <c r="AV111" s="152">
        <v>-6</v>
      </c>
      <c r="AW111" s="152">
        <v>9</v>
      </c>
      <c r="AX111" s="152">
        <v>-65</v>
      </c>
      <c r="AY111" s="152">
        <v>29</v>
      </c>
      <c r="AZ111" s="171">
        <v>-33</v>
      </c>
      <c r="BA111" s="152">
        <v>7</v>
      </c>
    </row>
    <row r="112" spans="1:53" ht="13.5" customHeight="1">
      <c r="A112" s="69"/>
      <c r="B112" s="171"/>
      <c r="C112" s="80"/>
      <c r="D112" s="80"/>
      <c r="E112" s="80"/>
      <c r="F112" s="80"/>
      <c r="G112" s="171"/>
      <c r="H112" s="80"/>
      <c r="I112" s="80"/>
      <c r="J112" s="80"/>
      <c r="K112" s="80"/>
      <c r="L112" s="171"/>
      <c r="M112" s="80"/>
      <c r="N112" s="80"/>
      <c r="O112" s="80"/>
      <c r="P112" s="80"/>
      <c r="Q112" s="171"/>
      <c r="R112" s="80"/>
      <c r="S112" s="80"/>
      <c r="T112" s="80"/>
      <c r="U112" s="80"/>
      <c r="V112" s="171"/>
      <c r="W112" s="80"/>
      <c r="X112" s="80"/>
      <c r="Y112" s="80"/>
      <c r="Z112" s="80"/>
      <c r="AA112" s="171"/>
      <c r="AB112" s="80"/>
      <c r="AC112" s="80"/>
      <c r="AD112" s="80"/>
      <c r="AE112" s="80"/>
      <c r="AF112" s="171"/>
      <c r="AG112" s="80"/>
      <c r="AH112" s="80"/>
      <c r="AI112" s="80"/>
      <c r="AJ112" s="80"/>
      <c r="AK112" s="171"/>
      <c r="AL112" s="152"/>
      <c r="AM112" s="152"/>
      <c r="AN112" s="152"/>
      <c r="AO112" s="152"/>
      <c r="AP112" s="171"/>
      <c r="AQ112" s="152"/>
      <c r="AR112" s="152"/>
      <c r="AS112" s="152"/>
      <c r="AT112" s="152"/>
      <c r="AU112" s="171"/>
      <c r="AV112" s="152"/>
      <c r="AW112" s="152"/>
      <c r="AX112" s="152"/>
      <c r="AY112" s="152"/>
      <c r="AZ112" s="171"/>
      <c r="BA112" s="152"/>
    </row>
    <row r="113" spans="1:16384" ht="24.75" customHeight="1">
      <c r="A113" s="89" t="s">
        <v>214</v>
      </c>
      <c r="B113" s="123" t="s">
        <v>45</v>
      </c>
      <c r="C113" s="80" t="s">
        <v>53</v>
      </c>
      <c r="D113" s="80" t="s">
        <v>53</v>
      </c>
      <c r="E113" s="80" t="s">
        <v>53</v>
      </c>
      <c r="F113" s="80" t="s">
        <v>53</v>
      </c>
      <c r="G113" s="123" t="s">
        <v>45</v>
      </c>
      <c r="H113" s="80" t="s">
        <v>53</v>
      </c>
      <c r="I113" s="80" t="s">
        <v>53</v>
      </c>
      <c r="J113" s="80" t="s">
        <v>53</v>
      </c>
      <c r="K113" s="80" t="s">
        <v>53</v>
      </c>
      <c r="L113" s="123" t="s">
        <v>45</v>
      </c>
      <c r="M113" s="80" t="s">
        <v>53</v>
      </c>
      <c r="N113" s="80" t="s">
        <v>53</v>
      </c>
      <c r="O113" s="80" t="s">
        <v>53</v>
      </c>
      <c r="P113" s="80" t="s">
        <v>53</v>
      </c>
      <c r="Q113" s="123" t="s">
        <v>45</v>
      </c>
      <c r="R113" s="80" t="s">
        <v>53</v>
      </c>
      <c r="S113" s="80" t="s">
        <v>53</v>
      </c>
      <c r="T113" s="80" t="s">
        <v>53</v>
      </c>
      <c r="U113" s="80" t="s">
        <v>53</v>
      </c>
      <c r="V113" s="171">
        <v>50</v>
      </c>
      <c r="W113" s="80" t="s">
        <v>53</v>
      </c>
      <c r="X113" s="80" t="s">
        <v>53</v>
      </c>
      <c r="Y113" s="80" t="s">
        <v>53</v>
      </c>
      <c r="Z113" s="80" t="s">
        <v>53</v>
      </c>
      <c r="AA113" s="171">
        <v>-31</v>
      </c>
      <c r="AB113" s="80" t="s">
        <v>53</v>
      </c>
      <c r="AC113" s="80" t="s">
        <v>53</v>
      </c>
      <c r="AD113" s="80" t="s">
        <v>53</v>
      </c>
      <c r="AE113" s="80" t="s">
        <v>53</v>
      </c>
      <c r="AF113" s="171">
        <v>11</v>
      </c>
      <c r="AG113" s="80" t="s">
        <v>53</v>
      </c>
      <c r="AH113" s="80" t="s">
        <v>53</v>
      </c>
      <c r="AI113" s="80" t="s">
        <v>53</v>
      </c>
      <c r="AJ113" s="80" t="s">
        <v>53</v>
      </c>
      <c r="AK113" s="171">
        <v>4</v>
      </c>
      <c r="AL113" s="152">
        <v>-1</v>
      </c>
      <c r="AM113" s="152">
        <v>-15</v>
      </c>
      <c r="AN113" s="152">
        <v>8</v>
      </c>
      <c r="AO113" s="152">
        <v>-1</v>
      </c>
      <c r="AP113" s="171">
        <v>-9</v>
      </c>
      <c r="AQ113" s="152">
        <v>-3</v>
      </c>
      <c r="AR113" s="152">
        <v>-5</v>
      </c>
      <c r="AS113" s="152">
        <v>16</v>
      </c>
      <c r="AT113" s="152">
        <v>15</v>
      </c>
      <c r="AU113" s="171">
        <v>23</v>
      </c>
      <c r="AV113" s="152">
        <v>-9</v>
      </c>
      <c r="AW113" s="152">
        <v>-25</v>
      </c>
      <c r="AX113" s="152">
        <v>4</v>
      </c>
      <c r="AY113" s="152">
        <v>-4</v>
      </c>
      <c r="AZ113" s="171">
        <v>-34</v>
      </c>
      <c r="BA113" s="152">
        <v>1</v>
      </c>
    </row>
    <row r="114" spans="1:16384" ht="13.5" customHeight="1">
      <c r="A114" s="172" t="s">
        <v>177</v>
      </c>
      <c r="B114" s="173"/>
      <c r="C114" s="174"/>
      <c r="D114" s="174"/>
      <c r="E114" s="174"/>
      <c r="F114" s="174"/>
      <c r="G114" s="173"/>
      <c r="H114" s="174"/>
      <c r="I114" s="174"/>
      <c r="J114" s="174"/>
      <c r="K114" s="174"/>
      <c r="L114" s="173"/>
      <c r="M114" s="174"/>
      <c r="N114" s="174"/>
      <c r="O114" s="174"/>
      <c r="P114" s="174"/>
      <c r="Q114" s="173">
        <f>SUM(Q103:Q113)</f>
        <v>-588</v>
      </c>
      <c r="R114" s="174"/>
      <c r="S114" s="174"/>
      <c r="T114" s="174"/>
      <c r="U114" s="174"/>
      <c r="V114" s="173">
        <f>SUM(V103:V113)</f>
        <v>-852</v>
      </c>
      <c r="W114" s="175"/>
      <c r="X114" s="175"/>
      <c r="Y114" s="175"/>
      <c r="Z114" s="175"/>
      <c r="AA114" s="173">
        <f>SUM(AA103:AA113)</f>
        <v>141</v>
      </c>
      <c r="AB114" s="176"/>
      <c r="AC114" s="176"/>
      <c r="AD114" s="176"/>
      <c r="AE114" s="176"/>
      <c r="AF114" s="173">
        <f>SUM(AF103:AF113)</f>
        <v>666</v>
      </c>
      <c r="AG114" s="173"/>
      <c r="AH114" s="173"/>
      <c r="AI114" s="173"/>
      <c r="AJ114" s="173"/>
      <c r="AK114" s="173">
        <v>482</v>
      </c>
      <c r="AL114" s="173">
        <v>54</v>
      </c>
      <c r="AM114" s="173">
        <v>-110</v>
      </c>
      <c r="AN114" s="173">
        <v>82</v>
      </c>
      <c r="AO114" s="173">
        <v>124</v>
      </c>
      <c r="AP114" s="173">
        <v>150</v>
      </c>
      <c r="AQ114" s="173">
        <v>4</v>
      </c>
      <c r="AR114" s="173">
        <v>-59</v>
      </c>
      <c r="AS114" s="173">
        <v>-36</v>
      </c>
      <c r="AT114" s="173">
        <v>92</v>
      </c>
      <c r="AU114" s="173">
        <v>1</v>
      </c>
      <c r="AV114" s="173">
        <v>-65</v>
      </c>
      <c r="AW114" s="173">
        <v>-2</v>
      </c>
      <c r="AX114" s="173">
        <v>165</v>
      </c>
      <c r="AY114" s="173">
        <v>18</v>
      </c>
      <c r="AZ114" s="173">
        <v>116</v>
      </c>
      <c r="BA114" s="173">
        <v>127</v>
      </c>
    </row>
    <row r="115" spans="1:16384" ht="6.6" customHeight="1">
      <c r="A115" s="69"/>
      <c r="B115" s="171"/>
      <c r="C115" s="80"/>
      <c r="D115" s="80"/>
      <c r="E115" s="80"/>
      <c r="F115" s="80"/>
      <c r="G115" s="171"/>
      <c r="H115" s="80"/>
      <c r="I115" s="80"/>
      <c r="J115" s="80"/>
      <c r="K115" s="80"/>
      <c r="L115" s="171"/>
      <c r="M115" s="80"/>
      <c r="N115" s="80"/>
      <c r="O115" s="80"/>
      <c r="P115" s="80"/>
      <c r="Q115" s="171"/>
      <c r="R115" s="80"/>
      <c r="S115" s="80"/>
      <c r="T115" s="80"/>
      <c r="U115" s="80"/>
      <c r="V115" s="171"/>
      <c r="W115" s="70"/>
      <c r="X115" s="70"/>
      <c r="Y115" s="70"/>
      <c r="Z115" s="70"/>
      <c r="AA115" s="171"/>
      <c r="AB115" s="70"/>
      <c r="AC115" s="70"/>
      <c r="AD115" s="70"/>
      <c r="AE115" s="70"/>
      <c r="AF115" s="171"/>
      <c r="AG115" s="152"/>
      <c r="AH115" s="152"/>
      <c r="AI115" s="152"/>
      <c r="AJ115" s="152"/>
      <c r="AK115" s="171"/>
      <c r="AL115" s="152"/>
      <c r="AM115" s="152"/>
      <c r="AN115" s="152"/>
      <c r="AO115" s="152"/>
      <c r="AP115" s="171"/>
      <c r="AQ115" s="152"/>
      <c r="AR115" s="152"/>
      <c r="AS115" s="152"/>
      <c r="AT115" s="152"/>
      <c r="AU115" s="171"/>
      <c r="AV115" s="152"/>
      <c r="AW115" s="152"/>
      <c r="AX115" s="152"/>
      <c r="AY115" s="152"/>
      <c r="AZ115" s="171"/>
      <c r="BA115" s="152"/>
    </row>
    <row r="116" spans="1:16384" ht="13.5" customHeight="1">
      <c r="A116" s="69" t="s">
        <v>183</v>
      </c>
      <c r="B116" s="123" t="s">
        <v>45</v>
      </c>
      <c r="C116" s="80" t="s">
        <v>53</v>
      </c>
      <c r="D116" s="80" t="s">
        <v>53</v>
      </c>
      <c r="E116" s="80" t="s">
        <v>53</v>
      </c>
      <c r="F116" s="80" t="s">
        <v>53</v>
      </c>
      <c r="G116" s="123" t="s">
        <v>45</v>
      </c>
      <c r="H116" s="80" t="s">
        <v>53</v>
      </c>
      <c r="I116" s="80" t="s">
        <v>53</v>
      </c>
      <c r="J116" s="80" t="s">
        <v>53</v>
      </c>
      <c r="K116" s="80" t="s">
        <v>53</v>
      </c>
      <c r="L116" s="123" t="s">
        <v>45</v>
      </c>
      <c r="M116" s="80" t="s">
        <v>53</v>
      </c>
      <c r="N116" s="80" t="s">
        <v>53</v>
      </c>
      <c r="O116" s="80" t="s">
        <v>53</v>
      </c>
      <c r="P116" s="80" t="s">
        <v>53</v>
      </c>
      <c r="Q116" s="171">
        <v>690</v>
      </c>
      <c r="R116" s="80" t="s">
        <v>53</v>
      </c>
      <c r="S116" s="80" t="s">
        <v>53</v>
      </c>
      <c r="T116" s="80" t="s">
        <v>53</v>
      </c>
      <c r="U116" s="80" t="s">
        <v>53</v>
      </c>
      <c r="V116" s="171">
        <v>649</v>
      </c>
      <c r="W116" s="80" t="s">
        <v>53</v>
      </c>
      <c r="X116" s="80" t="s">
        <v>53</v>
      </c>
      <c r="Y116" s="80" t="s">
        <v>53</v>
      </c>
      <c r="Z116" s="80" t="s">
        <v>53</v>
      </c>
      <c r="AA116" s="171">
        <v>662</v>
      </c>
      <c r="AB116" s="80" t="s">
        <v>53</v>
      </c>
      <c r="AC116" s="80" t="s">
        <v>53</v>
      </c>
      <c r="AD116" s="80" t="s">
        <v>53</v>
      </c>
      <c r="AE116" s="80" t="s">
        <v>53</v>
      </c>
      <c r="AF116" s="171">
        <v>625</v>
      </c>
      <c r="AG116" s="80" t="s">
        <v>53</v>
      </c>
      <c r="AH116" s="80" t="s">
        <v>53</v>
      </c>
      <c r="AI116" s="80" t="s">
        <v>53</v>
      </c>
      <c r="AJ116" s="80" t="s">
        <v>53</v>
      </c>
      <c r="AK116" s="171">
        <v>527</v>
      </c>
      <c r="AL116" s="152">
        <v>53</v>
      </c>
      <c r="AM116" s="152">
        <v>154</v>
      </c>
      <c r="AN116" s="152">
        <v>130</v>
      </c>
      <c r="AO116" s="152">
        <v>125</v>
      </c>
      <c r="AP116" s="171">
        <v>462</v>
      </c>
      <c r="AQ116" s="152">
        <v>105</v>
      </c>
      <c r="AR116" s="152">
        <v>100</v>
      </c>
      <c r="AS116" s="152">
        <v>92</v>
      </c>
      <c r="AT116" s="152">
        <v>158</v>
      </c>
      <c r="AU116" s="171">
        <v>455</v>
      </c>
      <c r="AV116" s="152">
        <v>106</v>
      </c>
      <c r="AW116" s="152">
        <v>122</v>
      </c>
      <c r="AX116" s="152">
        <v>118</v>
      </c>
      <c r="AY116" s="152">
        <v>100</v>
      </c>
      <c r="AZ116" s="171">
        <v>446</v>
      </c>
      <c r="BA116" s="152">
        <v>207</v>
      </c>
    </row>
    <row r="117" spans="1:16384" ht="4.1500000000000004" customHeight="1">
      <c r="A117" s="69"/>
      <c r="B117" s="171"/>
      <c r="C117" s="80"/>
      <c r="D117" s="80"/>
      <c r="E117" s="80"/>
      <c r="F117" s="80"/>
      <c r="G117" s="171"/>
      <c r="H117" s="80"/>
      <c r="I117" s="80"/>
      <c r="J117" s="80"/>
      <c r="K117" s="80"/>
      <c r="L117" s="171"/>
      <c r="M117" s="80"/>
      <c r="N117" s="80"/>
      <c r="O117" s="80"/>
      <c r="P117" s="80"/>
      <c r="Q117" s="171"/>
      <c r="R117" s="80"/>
      <c r="S117" s="80"/>
      <c r="T117" s="80"/>
      <c r="U117" s="80"/>
      <c r="V117" s="171"/>
      <c r="W117" s="80"/>
      <c r="X117" s="80"/>
      <c r="Y117" s="80"/>
      <c r="Z117" s="80"/>
      <c r="AA117" s="171"/>
      <c r="AB117" s="80"/>
      <c r="AC117" s="80"/>
      <c r="AD117" s="80"/>
      <c r="AE117" s="80"/>
      <c r="AF117" s="171"/>
      <c r="AG117" s="152"/>
      <c r="AH117" s="152"/>
      <c r="AI117" s="152"/>
      <c r="AJ117" s="152"/>
      <c r="AK117" s="171"/>
      <c r="AL117" s="152"/>
      <c r="AM117" s="152"/>
      <c r="AN117" s="152"/>
      <c r="AO117" s="152"/>
      <c r="AP117" s="171"/>
      <c r="AQ117" s="152"/>
      <c r="AR117" s="152"/>
      <c r="AS117" s="152"/>
      <c r="AT117" s="152"/>
      <c r="AU117" s="171"/>
      <c r="AV117" s="152"/>
      <c r="AW117" s="152"/>
      <c r="AX117" s="152"/>
      <c r="AY117" s="152"/>
      <c r="AZ117" s="171"/>
      <c r="BA117" s="152"/>
    </row>
    <row r="118" spans="1:16384" ht="11.45" customHeight="1">
      <c r="A118" s="69" t="s">
        <v>184</v>
      </c>
      <c r="B118" s="123" t="s">
        <v>45</v>
      </c>
      <c r="C118" s="80" t="s">
        <v>53</v>
      </c>
      <c r="D118" s="80" t="s">
        <v>53</v>
      </c>
      <c r="E118" s="80" t="s">
        <v>53</v>
      </c>
      <c r="F118" s="80" t="s">
        <v>53</v>
      </c>
      <c r="G118" s="123" t="s">
        <v>45</v>
      </c>
      <c r="H118" s="80" t="s">
        <v>53</v>
      </c>
      <c r="I118" s="80" t="s">
        <v>53</v>
      </c>
      <c r="J118" s="80" t="s">
        <v>53</v>
      </c>
      <c r="K118" s="80" t="s">
        <v>53</v>
      </c>
      <c r="L118" s="123" t="s">
        <v>45</v>
      </c>
      <c r="M118" s="80" t="s">
        <v>53</v>
      </c>
      <c r="N118" s="80" t="s">
        <v>53</v>
      </c>
      <c r="O118" s="80" t="s">
        <v>53</v>
      </c>
      <c r="P118" s="80" t="s">
        <v>53</v>
      </c>
      <c r="Q118" s="171">
        <v>237</v>
      </c>
      <c r="R118" s="80" t="s">
        <v>53</v>
      </c>
      <c r="S118" s="80" t="s">
        <v>53</v>
      </c>
      <c r="T118" s="80" t="s">
        <v>53</v>
      </c>
      <c r="U118" s="80" t="s">
        <v>53</v>
      </c>
      <c r="V118" s="171">
        <v>377</v>
      </c>
      <c r="W118" s="80" t="s">
        <v>53</v>
      </c>
      <c r="X118" s="80" t="s">
        <v>53</v>
      </c>
      <c r="Y118" s="80" t="s">
        <v>53</v>
      </c>
      <c r="Z118" s="80" t="s">
        <v>53</v>
      </c>
      <c r="AA118" s="171">
        <v>464</v>
      </c>
      <c r="AB118" s="80" t="s">
        <v>53</v>
      </c>
      <c r="AC118" s="80" t="s">
        <v>53</v>
      </c>
      <c r="AD118" s="80" t="s">
        <v>53</v>
      </c>
      <c r="AE118" s="80" t="s">
        <v>53</v>
      </c>
      <c r="AF118" s="171">
        <v>453</v>
      </c>
      <c r="AG118" s="80" t="s">
        <v>53</v>
      </c>
      <c r="AH118" s="80" t="s">
        <v>53</v>
      </c>
      <c r="AI118" s="80" t="s">
        <v>53</v>
      </c>
      <c r="AJ118" s="80" t="s">
        <v>53</v>
      </c>
      <c r="AK118" s="171">
        <v>431</v>
      </c>
      <c r="AL118" s="152">
        <v>20</v>
      </c>
      <c r="AM118" s="152">
        <v>223</v>
      </c>
      <c r="AN118" s="152">
        <v>41</v>
      </c>
      <c r="AO118" s="152">
        <v>210</v>
      </c>
      <c r="AP118" s="171">
        <v>494</v>
      </c>
      <c r="AQ118" s="152">
        <v>32</v>
      </c>
      <c r="AR118" s="152">
        <v>192</v>
      </c>
      <c r="AS118" s="152">
        <v>32</v>
      </c>
      <c r="AT118" s="152">
        <v>202</v>
      </c>
      <c r="AU118" s="171">
        <v>458</v>
      </c>
      <c r="AV118" s="152">
        <v>22</v>
      </c>
      <c r="AW118" s="152">
        <v>177</v>
      </c>
      <c r="AX118" s="152">
        <v>18</v>
      </c>
      <c r="AY118" s="152">
        <v>198</v>
      </c>
      <c r="AZ118" s="171">
        <v>415</v>
      </c>
      <c r="BA118" s="152">
        <v>5</v>
      </c>
    </row>
    <row r="119" spans="1:16384" ht="14.45" customHeight="1">
      <c r="A119" s="79" t="s">
        <v>268</v>
      </c>
      <c r="B119" s="216"/>
      <c r="C119" s="217"/>
      <c r="D119" s="217"/>
      <c r="E119" s="217"/>
      <c r="F119" s="218"/>
      <c r="G119" s="216"/>
      <c r="H119" s="217"/>
      <c r="I119" s="217"/>
      <c r="J119" s="217"/>
      <c r="K119" s="218"/>
      <c r="L119" s="216"/>
      <c r="M119" s="217"/>
      <c r="N119" s="217"/>
      <c r="O119" s="217"/>
      <c r="P119" s="218"/>
      <c r="Q119" s="216"/>
      <c r="R119" s="217"/>
      <c r="S119" s="217"/>
      <c r="T119" s="217"/>
      <c r="U119" s="218"/>
      <c r="V119" s="216"/>
      <c r="W119" s="217"/>
      <c r="X119" s="217"/>
      <c r="Y119" s="217"/>
      <c r="Z119" s="218"/>
      <c r="AA119" s="216"/>
      <c r="AB119" s="217"/>
      <c r="AC119" s="217"/>
      <c r="AD119" s="217"/>
      <c r="AE119" s="218"/>
      <c r="AF119" s="216"/>
      <c r="AG119" s="217"/>
      <c r="AH119" s="217"/>
      <c r="AI119" s="217"/>
      <c r="AJ119" s="218"/>
      <c r="AK119" s="171">
        <v>3314</v>
      </c>
      <c r="AL119" s="152">
        <v>907</v>
      </c>
      <c r="AM119" s="152">
        <v>950</v>
      </c>
      <c r="AN119" s="152">
        <v>968</v>
      </c>
      <c r="AO119" s="152">
        <v>765</v>
      </c>
      <c r="AP119" s="171">
        <v>3590</v>
      </c>
      <c r="AQ119" s="152">
        <v>918</v>
      </c>
      <c r="AR119" s="152">
        <v>929</v>
      </c>
      <c r="AS119" s="152">
        <v>938</v>
      </c>
      <c r="AT119" s="152">
        <v>740</v>
      </c>
      <c r="AU119" s="171">
        <v>3525</v>
      </c>
      <c r="AV119" s="152">
        <v>891</v>
      </c>
      <c r="AW119" s="152">
        <v>877</v>
      </c>
      <c r="AX119" s="152">
        <v>817</v>
      </c>
      <c r="AY119" s="152">
        <v>824</v>
      </c>
      <c r="AZ119" s="171">
        <v>3409</v>
      </c>
      <c r="BA119" s="152">
        <v>656</v>
      </c>
    </row>
    <row r="120" spans="1:16384" ht="11.45" customHeight="1">
      <c r="A120" s="79"/>
      <c r="B120" s="216"/>
      <c r="C120" s="217"/>
      <c r="D120" s="217"/>
      <c r="E120" s="217"/>
      <c r="F120" s="218"/>
      <c r="G120" s="216"/>
      <c r="H120" s="217"/>
      <c r="I120" s="217"/>
      <c r="J120" s="217"/>
      <c r="K120" s="218"/>
      <c r="L120" s="216"/>
      <c r="M120" s="217"/>
      <c r="N120" s="217"/>
      <c r="O120" s="217"/>
      <c r="P120" s="218"/>
      <c r="Q120" s="216"/>
      <c r="R120" s="217"/>
      <c r="S120" s="217"/>
      <c r="T120" s="217"/>
      <c r="U120" s="218"/>
      <c r="V120" s="216"/>
      <c r="W120" s="217"/>
      <c r="X120" s="217"/>
      <c r="Y120" s="217"/>
      <c r="Z120" s="218"/>
      <c r="AA120" s="216"/>
      <c r="AB120" s="217"/>
      <c r="AC120" s="217"/>
      <c r="AD120" s="217"/>
      <c r="AE120" s="218"/>
      <c r="AF120" s="216"/>
      <c r="AG120" s="217"/>
      <c r="AH120" s="217"/>
      <c r="AI120" s="217"/>
      <c r="AJ120" s="218"/>
      <c r="AK120" s="171"/>
      <c r="AL120" s="152"/>
      <c r="AM120" s="152"/>
      <c r="AN120" s="152"/>
      <c r="AO120" s="152"/>
      <c r="AP120" s="171"/>
      <c r="AQ120" s="152"/>
      <c r="AR120" s="152"/>
      <c r="AS120" s="152"/>
      <c r="AT120" s="152"/>
      <c r="AU120" s="171"/>
      <c r="AV120" s="152"/>
      <c r="AW120" s="152"/>
      <c r="AX120" s="152"/>
      <c r="AY120" s="152"/>
      <c r="AZ120" s="171"/>
      <c r="BA120" s="152"/>
    </row>
    <row r="121" spans="1:16384">
      <c r="A121" s="50" t="s">
        <v>47</v>
      </c>
      <c r="B121" s="41"/>
      <c r="C121" s="51"/>
      <c r="D121" s="51"/>
      <c r="E121" s="51"/>
      <c r="F121" s="51"/>
      <c r="G121" s="41"/>
      <c r="H121" s="51"/>
      <c r="I121" s="51"/>
      <c r="J121" s="51"/>
      <c r="K121" s="51"/>
      <c r="L121" s="41"/>
      <c r="M121" s="51"/>
      <c r="N121" s="51"/>
      <c r="O121" s="51"/>
      <c r="P121" s="51"/>
      <c r="Q121" s="41"/>
      <c r="R121" s="51"/>
      <c r="S121" s="51"/>
      <c r="T121" s="51"/>
      <c r="U121" s="51"/>
      <c r="V121" s="41"/>
      <c r="W121" s="51"/>
      <c r="X121" s="51"/>
      <c r="Y121" s="51"/>
      <c r="Z121" s="51"/>
      <c r="AA121" s="41"/>
      <c r="AB121" s="51"/>
      <c r="AC121" s="51"/>
      <c r="AD121" s="51"/>
      <c r="AE121" s="51"/>
      <c r="AF121" s="41"/>
      <c r="AG121" s="51"/>
      <c r="AH121" s="51"/>
      <c r="AI121" s="51"/>
      <c r="AJ121" s="51"/>
      <c r="AK121" s="41"/>
      <c r="AL121" s="51"/>
      <c r="AM121" s="51"/>
      <c r="AN121" s="51"/>
      <c r="AO121" s="51"/>
      <c r="AP121" s="41"/>
      <c r="AQ121" s="51"/>
      <c r="AR121" s="51"/>
      <c r="AS121" s="51"/>
      <c r="AT121" s="51"/>
      <c r="AU121" s="41"/>
      <c r="AV121" s="51"/>
      <c r="AW121" s="51"/>
      <c r="AX121" s="51"/>
      <c r="AY121" s="51"/>
      <c r="AZ121" s="41"/>
      <c r="BA121" s="51"/>
    </row>
    <row r="122" spans="1:16384" ht="6.6" customHeight="1">
      <c r="A122" s="69"/>
      <c r="B122" s="69"/>
      <c r="C122" s="69"/>
      <c r="D122" s="69"/>
      <c r="E122" s="69"/>
      <c r="F122" s="69"/>
      <c r="G122" s="69"/>
      <c r="H122" s="69"/>
      <c r="I122" s="69"/>
      <c r="J122" s="69"/>
      <c r="K122" s="69"/>
      <c r="L122" s="69"/>
      <c r="M122" s="69"/>
      <c r="N122" s="69"/>
      <c r="O122" s="69"/>
      <c r="P122" s="69"/>
      <c r="Q122" s="216"/>
      <c r="R122" s="69"/>
      <c r="S122" s="69"/>
      <c r="T122" s="69"/>
      <c r="U122" s="69"/>
      <c r="V122" s="216"/>
      <c r="W122" s="69"/>
      <c r="X122" s="69"/>
      <c r="Y122" s="69"/>
      <c r="Z122" s="69"/>
      <c r="AA122" s="216"/>
      <c r="AB122" s="69"/>
      <c r="AC122" s="69"/>
      <c r="AD122" s="69"/>
      <c r="AE122" s="69"/>
      <c r="AF122" s="216"/>
      <c r="AG122" s="69"/>
      <c r="AH122" s="69"/>
      <c r="AI122" s="69"/>
      <c r="AJ122" s="69"/>
      <c r="AK122" s="216"/>
      <c r="AL122" s="69"/>
      <c r="AM122" s="69"/>
      <c r="AN122" s="69"/>
      <c r="AO122" s="69"/>
      <c r="AP122" s="216"/>
      <c r="AQ122" s="69"/>
      <c r="AR122" s="69"/>
      <c r="AS122" s="69"/>
      <c r="AT122" s="69"/>
      <c r="AU122" s="216"/>
      <c r="AV122" s="69"/>
      <c r="AW122" s="69"/>
      <c r="AX122" s="69"/>
      <c r="AY122" s="69"/>
      <c r="AZ122" s="216"/>
      <c r="BA122" s="69"/>
      <c r="BB122" s="69"/>
      <c r="BC122" s="69"/>
      <c r="BD122" s="69"/>
      <c r="BE122" s="69"/>
      <c r="BF122" s="69"/>
      <c r="BG122" s="69"/>
      <c r="BH122" s="69"/>
      <c r="BI122" s="69"/>
      <c r="BJ122" s="69"/>
      <c r="BK122" s="69"/>
      <c r="BL122" s="69"/>
      <c r="BM122" s="69"/>
      <c r="BN122" s="69"/>
      <c r="BO122" s="69"/>
      <c r="BP122" s="69"/>
      <c r="BQ122" s="69"/>
      <c r="BR122" s="69"/>
      <c r="BS122" s="69"/>
      <c r="BT122" s="69"/>
      <c r="BU122" s="69"/>
      <c r="BV122" s="69"/>
      <c r="BW122" s="69"/>
      <c r="BX122" s="69"/>
      <c r="BY122" s="69"/>
      <c r="BZ122" s="69"/>
      <c r="CA122" s="69"/>
      <c r="CB122" s="69"/>
      <c r="CC122" s="69"/>
      <c r="CD122" s="69"/>
      <c r="CE122" s="69"/>
      <c r="CF122" s="69"/>
      <c r="CG122" s="69"/>
      <c r="CH122" s="69"/>
      <c r="CI122" s="69"/>
      <c r="CJ122" s="69"/>
      <c r="CK122" s="69"/>
      <c r="CL122" s="69"/>
      <c r="CM122" s="69"/>
      <c r="CN122" s="69"/>
      <c r="CO122" s="69"/>
      <c r="CP122" s="69"/>
      <c r="CQ122" s="69"/>
      <c r="CR122" s="69"/>
      <c r="CS122" s="69"/>
      <c r="CT122" s="69"/>
      <c r="CU122" s="69"/>
      <c r="CV122" s="69"/>
      <c r="CW122" s="69"/>
      <c r="CX122" s="69"/>
      <c r="CY122" s="69"/>
      <c r="CZ122" s="69"/>
      <c r="DA122" s="69"/>
      <c r="DB122" s="69"/>
      <c r="DC122" s="69"/>
      <c r="DD122" s="69"/>
      <c r="DE122" s="69"/>
      <c r="DF122" s="69"/>
      <c r="DG122" s="69"/>
      <c r="DH122" s="69"/>
      <c r="DI122" s="69"/>
      <c r="DJ122" s="69"/>
      <c r="DK122" s="69"/>
      <c r="DL122" s="69"/>
      <c r="DM122" s="69"/>
      <c r="DN122" s="69"/>
      <c r="DO122" s="69"/>
      <c r="DP122" s="69"/>
      <c r="DQ122" s="69"/>
      <c r="DR122" s="69"/>
      <c r="DS122" s="69"/>
      <c r="DT122" s="69"/>
      <c r="DU122" s="69"/>
      <c r="DV122" s="69"/>
      <c r="DW122" s="69"/>
      <c r="DX122" s="69"/>
      <c r="DY122" s="69"/>
      <c r="DZ122" s="69"/>
      <c r="EA122" s="69"/>
      <c r="EB122" s="69"/>
      <c r="EC122" s="69"/>
      <c r="ED122" s="69"/>
      <c r="EE122" s="69"/>
      <c r="EF122" s="69"/>
      <c r="EG122" s="69"/>
      <c r="EH122" s="69"/>
      <c r="EI122" s="69"/>
      <c r="EJ122" s="69"/>
      <c r="EK122" s="69"/>
      <c r="EL122" s="69"/>
      <c r="EM122" s="69"/>
      <c r="EN122" s="69"/>
      <c r="EO122" s="69"/>
      <c r="EP122" s="69"/>
      <c r="EQ122" s="69"/>
      <c r="ER122" s="69"/>
      <c r="ES122" s="69"/>
      <c r="ET122" s="69"/>
      <c r="EU122" s="69"/>
      <c r="EV122" s="69"/>
      <c r="EW122" s="69"/>
      <c r="EX122" s="69"/>
      <c r="EY122" s="69"/>
      <c r="EZ122" s="69"/>
      <c r="FA122" s="69"/>
      <c r="FB122" s="69"/>
      <c r="FC122" s="69"/>
      <c r="FD122" s="69"/>
      <c r="FE122" s="69"/>
      <c r="FF122" s="69"/>
      <c r="FG122" s="69"/>
      <c r="FH122" s="69"/>
      <c r="FI122" s="69"/>
      <c r="FJ122" s="69"/>
      <c r="FK122" s="69"/>
      <c r="FL122" s="69"/>
      <c r="FM122" s="69"/>
      <c r="FN122" s="69"/>
      <c r="FO122" s="69"/>
      <c r="FP122" s="69"/>
      <c r="FQ122" s="69"/>
      <c r="FR122" s="69"/>
      <c r="FS122" s="69"/>
      <c r="FT122" s="69"/>
      <c r="FU122" s="69"/>
      <c r="FV122" s="69"/>
      <c r="FW122" s="69"/>
      <c r="FX122" s="69"/>
      <c r="FY122" s="69"/>
      <c r="FZ122" s="69"/>
      <c r="GA122" s="69"/>
      <c r="GB122" s="69"/>
      <c r="GC122" s="69"/>
      <c r="GD122" s="69"/>
      <c r="GE122" s="69"/>
      <c r="GF122" s="69"/>
      <c r="GG122" s="69"/>
      <c r="GH122" s="69"/>
      <c r="GI122" s="69"/>
      <c r="GJ122" s="69"/>
      <c r="GK122" s="69"/>
      <c r="GL122" s="69"/>
      <c r="GM122" s="69"/>
      <c r="GN122" s="69"/>
      <c r="GO122" s="69"/>
      <c r="GP122" s="69"/>
      <c r="GQ122" s="69"/>
      <c r="GR122" s="69"/>
      <c r="GS122" s="69"/>
      <c r="GT122" s="69"/>
      <c r="GU122" s="69"/>
      <c r="GV122" s="69"/>
      <c r="GW122" s="69"/>
      <c r="GX122" s="69"/>
      <c r="GY122" s="69"/>
      <c r="GZ122" s="69"/>
      <c r="HA122" s="69"/>
      <c r="HB122" s="69"/>
      <c r="HC122" s="69"/>
      <c r="HD122" s="69"/>
      <c r="HE122" s="69"/>
      <c r="HF122" s="69"/>
      <c r="HG122" s="69"/>
      <c r="HH122" s="69"/>
      <c r="HI122" s="69"/>
      <c r="HJ122" s="69"/>
      <c r="HK122" s="69"/>
      <c r="HL122" s="69"/>
      <c r="HM122" s="69"/>
      <c r="HN122" s="69"/>
      <c r="HO122" s="69"/>
      <c r="HP122" s="69"/>
      <c r="HQ122" s="69"/>
      <c r="HR122" s="69"/>
      <c r="HS122" s="69"/>
      <c r="HT122" s="69"/>
      <c r="HU122" s="69"/>
      <c r="HV122" s="69"/>
      <c r="HW122" s="69"/>
      <c r="HX122" s="69"/>
      <c r="HY122" s="69"/>
      <c r="HZ122" s="69"/>
      <c r="IA122" s="69"/>
      <c r="IB122" s="69"/>
      <c r="IC122" s="69"/>
      <c r="ID122" s="69"/>
      <c r="IE122" s="69"/>
      <c r="IF122" s="69"/>
      <c r="IG122" s="69"/>
      <c r="IH122" s="69"/>
      <c r="II122" s="69"/>
      <c r="IJ122" s="69"/>
      <c r="IK122" s="69"/>
      <c r="IL122" s="69"/>
      <c r="IM122" s="69"/>
      <c r="IN122" s="69"/>
      <c r="IO122" s="69"/>
      <c r="IP122" s="69"/>
      <c r="IQ122" s="69"/>
      <c r="IR122" s="69"/>
      <c r="IS122" s="69"/>
      <c r="IT122" s="69"/>
      <c r="IU122" s="69"/>
      <c r="IV122" s="69"/>
      <c r="IW122" s="69"/>
      <c r="IX122" s="69"/>
      <c r="IY122" s="69"/>
      <c r="IZ122" s="69"/>
      <c r="JA122" s="69"/>
      <c r="JB122" s="69"/>
      <c r="JC122" s="69"/>
      <c r="JD122" s="69"/>
      <c r="JE122" s="69"/>
      <c r="JF122" s="69"/>
      <c r="JG122" s="69"/>
      <c r="JH122" s="69"/>
      <c r="JI122" s="69"/>
      <c r="JJ122" s="69"/>
      <c r="JK122" s="69"/>
      <c r="JL122" s="69"/>
      <c r="JM122" s="69"/>
      <c r="JN122" s="69"/>
      <c r="JO122" s="69"/>
      <c r="JP122" s="69"/>
      <c r="JQ122" s="69"/>
      <c r="JR122" s="69"/>
      <c r="JS122" s="69"/>
      <c r="JT122" s="69"/>
      <c r="JU122" s="69"/>
      <c r="JV122" s="69"/>
      <c r="JW122" s="69"/>
      <c r="JX122" s="69"/>
      <c r="JY122" s="69"/>
      <c r="JZ122" s="69"/>
      <c r="KA122" s="69"/>
      <c r="KB122" s="69"/>
      <c r="KC122" s="69"/>
      <c r="KD122" s="69"/>
      <c r="KE122" s="69"/>
      <c r="KF122" s="69"/>
      <c r="KG122" s="69"/>
      <c r="KH122" s="69"/>
      <c r="KI122" s="69"/>
      <c r="KJ122" s="69"/>
      <c r="KK122" s="69"/>
      <c r="KL122" s="69"/>
      <c r="KM122" s="69"/>
      <c r="KN122" s="69"/>
      <c r="KO122" s="69"/>
      <c r="KP122" s="69"/>
      <c r="KQ122" s="69"/>
      <c r="KR122" s="69"/>
      <c r="KS122" s="69"/>
      <c r="KT122" s="69"/>
      <c r="KU122" s="69"/>
      <c r="KV122" s="69"/>
      <c r="KW122" s="69"/>
      <c r="KX122" s="69"/>
      <c r="KY122" s="69"/>
      <c r="KZ122" s="69"/>
      <c r="LA122" s="69"/>
      <c r="LB122" s="69"/>
      <c r="LC122" s="69"/>
      <c r="LD122" s="69"/>
      <c r="LE122" s="69"/>
      <c r="LF122" s="69"/>
      <c r="LG122" s="69"/>
      <c r="LH122" s="69"/>
      <c r="LI122" s="69"/>
      <c r="LJ122" s="69"/>
      <c r="LK122" s="69"/>
      <c r="LL122" s="69"/>
      <c r="LM122" s="69"/>
      <c r="LN122" s="69"/>
      <c r="LO122" s="69"/>
      <c r="LP122" s="69"/>
      <c r="LQ122" s="69"/>
      <c r="LR122" s="69"/>
      <c r="LS122" s="69"/>
      <c r="LT122" s="69"/>
      <c r="LU122" s="69"/>
      <c r="LV122" s="69"/>
      <c r="LW122" s="69"/>
      <c r="LX122" s="69"/>
      <c r="LY122" s="69"/>
      <c r="LZ122" s="69"/>
      <c r="MA122" s="69"/>
      <c r="MB122" s="69"/>
      <c r="MC122" s="69"/>
      <c r="MD122" s="69"/>
      <c r="ME122" s="69"/>
      <c r="MF122" s="69"/>
      <c r="MG122" s="69"/>
      <c r="MH122" s="69"/>
      <c r="MI122" s="69"/>
      <c r="MJ122" s="69"/>
      <c r="MK122" s="69"/>
      <c r="ML122" s="69"/>
      <c r="MM122" s="69"/>
      <c r="MN122" s="69"/>
      <c r="MO122" s="69"/>
      <c r="MP122" s="69"/>
      <c r="MQ122" s="69"/>
      <c r="MR122" s="69"/>
      <c r="MS122" s="69"/>
      <c r="MT122" s="69"/>
      <c r="MU122" s="69"/>
      <c r="MV122" s="69"/>
      <c r="MW122" s="69"/>
      <c r="MX122" s="69"/>
      <c r="MY122" s="69"/>
      <c r="MZ122" s="69"/>
      <c r="NA122" s="69"/>
      <c r="NB122" s="69"/>
      <c r="NC122" s="69"/>
      <c r="ND122" s="69"/>
      <c r="NE122" s="69"/>
      <c r="NF122" s="69"/>
      <c r="NG122" s="69"/>
      <c r="NH122" s="69"/>
      <c r="NI122" s="69"/>
      <c r="NJ122" s="69"/>
      <c r="NK122" s="69"/>
      <c r="NL122" s="69"/>
      <c r="NM122" s="69"/>
      <c r="NN122" s="69"/>
      <c r="NO122" s="69"/>
      <c r="NP122" s="69"/>
      <c r="NQ122" s="69"/>
      <c r="NR122" s="69"/>
      <c r="NS122" s="69"/>
      <c r="NT122" s="69"/>
      <c r="NU122" s="69"/>
      <c r="NV122" s="69"/>
      <c r="NW122" s="69"/>
      <c r="NX122" s="69"/>
      <c r="NY122" s="69"/>
      <c r="NZ122" s="69"/>
      <c r="OA122" s="69"/>
      <c r="OB122" s="69"/>
      <c r="OC122" s="69"/>
      <c r="OD122" s="69"/>
      <c r="OE122" s="69"/>
      <c r="OF122" s="69"/>
      <c r="OG122" s="69"/>
      <c r="OH122" s="69"/>
      <c r="OI122" s="69"/>
      <c r="OJ122" s="69"/>
      <c r="OK122" s="69"/>
      <c r="OL122" s="69"/>
      <c r="OM122" s="69"/>
      <c r="ON122" s="69"/>
      <c r="OO122" s="69"/>
      <c r="OP122" s="69"/>
      <c r="OQ122" s="69"/>
      <c r="OR122" s="69"/>
      <c r="OS122" s="69"/>
      <c r="OT122" s="69"/>
      <c r="OU122" s="69"/>
      <c r="OV122" s="69"/>
      <c r="OW122" s="69"/>
      <c r="OX122" s="69"/>
      <c r="OY122" s="69"/>
      <c r="OZ122" s="69"/>
      <c r="PA122" s="69"/>
      <c r="PB122" s="69"/>
      <c r="PC122" s="69"/>
      <c r="PD122" s="69"/>
      <c r="PE122" s="69"/>
      <c r="PF122" s="69"/>
      <c r="PG122" s="69"/>
      <c r="PH122" s="69"/>
      <c r="PI122" s="69"/>
      <c r="PJ122" s="69"/>
      <c r="PK122" s="69"/>
      <c r="PL122" s="69"/>
      <c r="PM122" s="69"/>
      <c r="PN122" s="69"/>
      <c r="PO122" s="69"/>
      <c r="PP122" s="69"/>
      <c r="PQ122" s="69"/>
      <c r="PR122" s="69"/>
      <c r="PS122" s="69"/>
      <c r="PT122" s="69"/>
      <c r="PU122" s="69"/>
      <c r="PV122" s="69"/>
      <c r="PW122" s="69"/>
      <c r="PX122" s="69"/>
      <c r="PY122" s="69"/>
      <c r="PZ122" s="69"/>
      <c r="QA122" s="69"/>
      <c r="QB122" s="69"/>
      <c r="QC122" s="69"/>
      <c r="QD122" s="69"/>
      <c r="QE122" s="69"/>
      <c r="QF122" s="69"/>
      <c r="QG122" s="69"/>
      <c r="QH122" s="69"/>
      <c r="QI122" s="69"/>
      <c r="QJ122" s="69"/>
      <c r="QK122" s="69"/>
      <c r="QL122" s="69"/>
      <c r="QM122" s="69"/>
      <c r="QN122" s="69"/>
      <c r="QO122" s="69"/>
      <c r="QP122" s="69"/>
      <c r="QQ122" s="69"/>
      <c r="QR122" s="69"/>
      <c r="QS122" s="69"/>
      <c r="QT122" s="69"/>
      <c r="QU122" s="69"/>
      <c r="QV122" s="69"/>
      <c r="QW122" s="69"/>
      <c r="QX122" s="69"/>
      <c r="QY122" s="69"/>
      <c r="QZ122" s="69"/>
      <c r="RA122" s="69"/>
      <c r="RB122" s="69"/>
      <c r="RC122" s="69"/>
      <c r="RD122" s="69"/>
      <c r="RE122" s="69"/>
      <c r="RF122" s="69"/>
      <c r="RG122" s="69"/>
      <c r="RH122" s="69"/>
      <c r="RI122" s="69"/>
      <c r="RJ122" s="69"/>
      <c r="RK122" s="69"/>
      <c r="RL122" s="69"/>
      <c r="RM122" s="69"/>
      <c r="RN122" s="69"/>
      <c r="RO122" s="69"/>
      <c r="RP122" s="69"/>
      <c r="RQ122" s="69"/>
      <c r="RR122" s="69"/>
      <c r="RS122" s="69"/>
      <c r="RT122" s="69"/>
      <c r="RU122" s="69"/>
      <c r="RV122" s="69"/>
      <c r="RW122" s="69"/>
      <c r="RX122" s="69"/>
      <c r="RY122" s="69"/>
      <c r="RZ122" s="69"/>
      <c r="SA122" s="69"/>
      <c r="SB122" s="69"/>
      <c r="SC122" s="69"/>
      <c r="SD122" s="69"/>
      <c r="SE122" s="69"/>
      <c r="SF122" s="69"/>
      <c r="SG122" s="69"/>
      <c r="SH122" s="69"/>
      <c r="SI122" s="69"/>
      <c r="SJ122" s="69"/>
      <c r="SK122" s="69"/>
      <c r="SL122" s="69"/>
      <c r="SM122" s="69"/>
      <c r="SN122" s="69"/>
      <c r="SO122" s="69"/>
      <c r="SP122" s="69"/>
      <c r="SQ122" s="69"/>
      <c r="SR122" s="69"/>
      <c r="SS122" s="69"/>
      <c r="ST122" s="69"/>
      <c r="SU122" s="69"/>
      <c r="SV122" s="69"/>
      <c r="SW122" s="69"/>
      <c r="SX122" s="69"/>
      <c r="SY122" s="69"/>
      <c r="SZ122" s="69"/>
      <c r="TA122" s="69"/>
      <c r="TB122" s="69"/>
      <c r="TC122" s="69"/>
      <c r="TD122" s="69"/>
      <c r="TE122" s="69"/>
      <c r="TF122" s="69"/>
      <c r="TG122" s="69"/>
      <c r="TH122" s="69"/>
      <c r="TI122" s="69"/>
      <c r="TJ122" s="69"/>
      <c r="TK122" s="69"/>
      <c r="TL122" s="69"/>
      <c r="TM122" s="69"/>
      <c r="TN122" s="69"/>
      <c r="TO122" s="69"/>
      <c r="TP122" s="69"/>
      <c r="TQ122" s="69"/>
      <c r="TR122" s="69"/>
      <c r="TS122" s="69"/>
      <c r="TT122" s="69"/>
      <c r="TU122" s="69"/>
      <c r="TV122" s="69"/>
      <c r="TW122" s="69"/>
      <c r="TX122" s="69"/>
      <c r="TY122" s="69"/>
      <c r="TZ122" s="69"/>
      <c r="UA122" s="69"/>
      <c r="UB122" s="69"/>
      <c r="UC122" s="69"/>
      <c r="UD122" s="69"/>
      <c r="UE122" s="69"/>
      <c r="UF122" s="69"/>
      <c r="UG122" s="69"/>
      <c r="UH122" s="69"/>
      <c r="UI122" s="69"/>
      <c r="UJ122" s="69"/>
      <c r="UK122" s="69"/>
      <c r="UL122" s="69"/>
      <c r="UM122" s="69"/>
      <c r="UN122" s="69"/>
      <c r="UO122" s="69"/>
      <c r="UP122" s="69"/>
      <c r="UQ122" s="69"/>
      <c r="UR122" s="69"/>
      <c r="US122" s="69"/>
      <c r="UT122" s="69"/>
      <c r="UU122" s="69"/>
      <c r="UV122" s="69"/>
      <c r="UW122" s="69"/>
      <c r="UX122" s="69"/>
      <c r="UY122" s="69"/>
      <c r="UZ122" s="69"/>
      <c r="VA122" s="69"/>
      <c r="VB122" s="69"/>
      <c r="VC122" s="69"/>
      <c r="VD122" s="69"/>
      <c r="VE122" s="69"/>
      <c r="VF122" s="69"/>
      <c r="VG122" s="69"/>
      <c r="VH122" s="69"/>
      <c r="VI122" s="69"/>
      <c r="VJ122" s="69"/>
      <c r="VK122" s="69"/>
      <c r="VL122" s="69"/>
      <c r="VM122" s="69"/>
      <c r="VN122" s="69"/>
      <c r="VO122" s="69"/>
      <c r="VP122" s="69"/>
      <c r="VQ122" s="69"/>
      <c r="VR122" s="69"/>
      <c r="VS122" s="69"/>
      <c r="VT122" s="69"/>
      <c r="VU122" s="69"/>
      <c r="VV122" s="69"/>
      <c r="VW122" s="69"/>
      <c r="VX122" s="69"/>
      <c r="VY122" s="69"/>
      <c r="VZ122" s="69"/>
      <c r="WA122" s="69"/>
      <c r="WB122" s="69"/>
      <c r="WC122" s="69"/>
      <c r="WD122" s="69"/>
      <c r="WE122" s="69"/>
      <c r="WF122" s="69"/>
      <c r="WG122" s="69"/>
      <c r="WH122" s="69"/>
      <c r="WI122" s="69"/>
      <c r="WJ122" s="69"/>
      <c r="WK122" s="69"/>
      <c r="WL122" s="69"/>
      <c r="WM122" s="69"/>
      <c r="WN122" s="69"/>
      <c r="WO122" s="69"/>
      <c r="WP122" s="69"/>
      <c r="WQ122" s="69"/>
      <c r="WR122" s="69"/>
      <c r="WS122" s="69"/>
      <c r="WT122" s="69"/>
      <c r="WU122" s="69"/>
      <c r="WV122" s="69"/>
      <c r="WW122" s="69"/>
      <c r="WX122" s="69"/>
      <c r="WY122" s="69"/>
      <c r="WZ122" s="69"/>
      <c r="XA122" s="69"/>
      <c r="XB122" s="69"/>
      <c r="XC122" s="69"/>
      <c r="XD122" s="69"/>
      <c r="XE122" s="69"/>
      <c r="XF122" s="69"/>
      <c r="XG122" s="69"/>
      <c r="XH122" s="69"/>
      <c r="XI122" s="69"/>
      <c r="XJ122" s="69"/>
      <c r="XK122" s="69"/>
      <c r="XL122" s="69"/>
      <c r="XM122" s="69"/>
      <c r="XN122" s="69"/>
      <c r="XO122" s="69"/>
      <c r="XP122" s="69"/>
      <c r="XQ122" s="69"/>
      <c r="XR122" s="69"/>
      <c r="XS122" s="69"/>
      <c r="XT122" s="69"/>
      <c r="XU122" s="69"/>
      <c r="XV122" s="69"/>
      <c r="XW122" s="69"/>
      <c r="XX122" s="69"/>
      <c r="XY122" s="69"/>
      <c r="XZ122" s="69"/>
      <c r="YA122" s="69"/>
      <c r="YB122" s="69"/>
      <c r="YC122" s="69"/>
      <c r="YD122" s="69"/>
      <c r="YE122" s="69"/>
      <c r="YF122" s="69"/>
      <c r="YG122" s="69"/>
      <c r="YH122" s="69"/>
      <c r="YI122" s="69"/>
      <c r="YJ122" s="69"/>
      <c r="YK122" s="69"/>
      <c r="YL122" s="69"/>
      <c r="YM122" s="69"/>
      <c r="YN122" s="69"/>
      <c r="YO122" s="69"/>
      <c r="YP122" s="69"/>
      <c r="YQ122" s="69"/>
      <c r="YR122" s="69"/>
      <c r="YS122" s="69"/>
      <c r="YT122" s="69"/>
      <c r="YU122" s="69"/>
      <c r="YV122" s="69"/>
      <c r="YW122" s="69"/>
      <c r="YX122" s="69"/>
      <c r="YY122" s="69"/>
      <c r="YZ122" s="69"/>
      <c r="ZA122" s="69"/>
      <c r="ZB122" s="69"/>
      <c r="ZC122" s="69"/>
      <c r="ZD122" s="69"/>
      <c r="ZE122" s="69"/>
      <c r="ZF122" s="69"/>
      <c r="ZG122" s="69"/>
      <c r="ZH122" s="69"/>
      <c r="ZI122" s="69"/>
      <c r="ZJ122" s="69"/>
      <c r="ZK122" s="69"/>
      <c r="ZL122" s="69"/>
      <c r="ZM122" s="69"/>
      <c r="ZN122" s="69"/>
      <c r="ZO122" s="69"/>
      <c r="ZP122" s="69"/>
      <c r="ZQ122" s="69"/>
      <c r="ZR122" s="69"/>
      <c r="ZS122" s="69"/>
      <c r="ZT122" s="69"/>
      <c r="ZU122" s="69"/>
      <c r="ZV122" s="69"/>
      <c r="ZW122" s="69"/>
      <c r="ZX122" s="69"/>
      <c r="ZY122" s="69"/>
      <c r="ZZ122" s="69"/>
      <c r="AAA122" s="69"/>
      <c r="AAB122" s="69"/>
      <c r="AAC122" s="69"/>
      <c r="AAD122" s="69"/>
      <c r="AAE122" s="69"/>
      <c r="AAF122" s="69"/>
      <c r="AAG122" s="69"/>
      <c r="AAH122" s="69"/>
      <c r="AAI122" s="69"/>
      <c r="AAJ122" s="69"/>
      <c r="AAK122" s="69"/>
      <c r="AAL122" s="69"/>
      <c r="AAM122" s="69"/>
      <c r="AAN122" s="69"/>
      <c r="AAO122" s="69"/>
      <c r="AAP122" s="69"/>
      <c r="AAQ122" s="69"/>
      <c r="AAR122" s="69"/>
      <c r="AAS122" s="69"/>
      <c r="AAT122" s="69"/>
      <c r="AAU122" s="69"/>
      <c r="AAV122" s="69"/>
      <c r="AAW122" s="69"/>
      <c r="AAX122" s="69"/>
      <c r="AAY122" s="69"/>
      <c r="AAZ122" s="69"/>
      <c r="ABA122" s="69"/>
      <c r="ABB122" s="69"/>
      <c r="ABC122" s="69"/>
      <c r="ABD122" s="69"/>
      <c r="ABE122" s="69"/>
      <c r="ABF122" s="69"/>
      <c r="ABG122" s="69"/>
      <c r="ABH122" s="69"/>
      <c r="ABI122" s="69"/>
      <c r="ABJ122" s="69"/>
      <c r="ABK122" s="69"/>
      <c r="ABL122" s="69"/>
      <c r="ABM122" s="69"/>
      <c r="ABN122" s="69"/>
      <c r="ABO122" s="69"/>
      <c r="ABP122" s="69"/>
      <c r="ABQ122" s="69"/>
      <c r="ABR122" s="69"/>
      <c r="ABS122" s="69"/>
      <c r="ABT122" s="69"/>
      <c r="ABU122" s="69"/>
      <c r="ABV122" s="69"/>
      <c r="ABW122" s="69"/>
      <c r="ABX122" s="69"/>
      <c r="ABY122" s="69"/>
      <c r="ABZ122" s="69"/>
      <c r="ACA122" s="69"/>
      <c r="ACB122" s="69"/>
      <c r="ACC122" s="69"/>
      <c r="ACD122" s="69"/>
      <c r="ACE122" s="69"/>
      <c r="ACF122" s="69"/>
      <c r="ACG122" s="69"/>
      <c r="ACH122" s="69"/>
      <c r="ACI122" s="69"/>
      <c r="ACJ122" s="69"/>
      <c r="ACK122" s="69"/>
      <c r="ACL122" s="69"/>
      <c r="ACM122" s="69"/>
      <c r="ACN122" s="69"/>
      <c r="ACO122" s="69"/>
      <c r="ACP122" s="69"/>
      <c r="ACQ122" s="69"/>
      <c r="ACR122" s="69"/>
      <c r="ACS122" s="69"/>
      <c r="ACT122" s="69"/>
      <c r="ACU122" s="69"/>
      <c r="ACV122" s="69"/>
      <c r="ACW122" s="69"/>
      <c r="ACX122" s="69"/>
      <c r="ACY122" s="69"/>
      <c r="ACZ122" s="69"/>
      <c r="ADA122" s="69"/>
      <c r="ADB122" s="69"/>
      <c r="ADC122" s="69"/>
      <c r="ADD122" s="69"/>
      <c r="ADE122" s="69"/>
      <c r="ADF122" s="69"/>
      <c r="ADG122" s="69"/>
      <c r="ADH122" s="69"/>
      <c r="ADI122" s="69"/>
      <c r="ADJ122" s="69"/>
      <c r="ADK122" s="69"/>
      <c r="ADL122" s="69"/>
      <c r="ADM122" s="69"/>
      <c r="ADN122" s="69"/>
      <c r="ADO122" s="69"/>
      <c r="ADP122" s="69"/>
      <c r="ADQ122" s="69"/>
      <c r="ADR122" s="69"/>
      <c r="ADS122" s="69"/>
      <c r="ADT122" s="69"/>
      <c r="ADU122" s="69"/>
      <c r="ADV122" s="69"/>
      <c r="ADW122" s="69"/>
      <c r="ADX122" s="69"/>
      <c r="ADY122" s="69"/>
      <c r="ADZ122" s="69"/>
      <c r="AEA122" s="69"/>
      <c r="AEB122" s="69"/>
      <c r="AEC122" s="69"/>
      <c r="AED122" s="69"/>
      <c r="AEE122" s="69"/>
      <c r="AEF122" s="69"/>
      <c r="AEG122" s="69"/>
      <c r="AEH122" s="69"/>
      <c r="AEI122" s="69"/>
      <c r="AEJ122" s="69"/>
      <c r="AEK122" s="69"/>
      <c r="AEL122" s="69"/>
      <c r="AEM122" s="69"/>
      <c r="AEN122" s="69"/>
      <c r="AEO122" s="69"/>
      <c r="AEP122" s="69"/>
      <c r="AEQ122" s="69"/>
      <c r="AER122" s="69"/>
      <c r="AES122" s="69"/>
      <c r="AET122" s="69"/>
      <c r="AEU122" s="69"/>
      <c r="AEV122" s="69"/>
      <c r="AEW122" s="69"/>
      <c r="AEX122" s="69"/>
      <c r="AEY122" s="69"/>
      <c r="AEZ122" s="69"/>
      <c r="AFA122" s="69"/>
      <c r="AFB122" s="69"/>
      <c r="AFC122" s="69"/>
      <c r="AFD122" s="69"/>
      <c r="AFE122" s="69"/>
      <c r="AFF122" s="69"/>
      <c r="AFG122" s="69"/>
      <c r="AFH122" s="69"/>
      <c r="AFI122" s="69"/>
      <c r="AFJ122" s="69"/>
      <c r="AFK122" s="69"/>
      <c r="AFL122" s="69"/>
      <c r="AFM122" s="69"/>
      <c r="AFN122" s="69"/>
      <c r="AFO122" s="69"/>
      <c r="AFP122" s="69"/>
      <c r="AFQ122" s="69"/>
      <c r="AFR122" s="69"/>
      <c r="AFS122" s="69"/>
      <c r="AFT122" s="69"/>
      <c r="AFU122" s="69"/>
      <c r="AFV122" s="69"/>
      <c r="AFW122" s="69"/>
      <c r="AFX122" s="69"/>
      <c r="AFY122" s="69"/>
      <c r="AFZ122" s="69"/>
      <c r="AGA122" s="69"/>
      <c r="AGB122" s="69"/>
      <c r="AGC122" s="69"/>
      <c r="AGD122" s="69"/>
      <c r="AGE122" s="69"/>
      <c r="AGF122" s="69"/>
      <c r="AGG122" s="69"/>
      <c r="AGH122" s="69"/>
      <c r="AGI122" s="69"/>
      <c r="AGJ122" s="69"/>
      <c r="AGK122" s="69"/>
      <c r="AGL122" s="69"/>
      <c r="AGM122" s="69"/>
      <c r="AGN122" s="69"/>
      <c r="AGO122" s="69"/>
      <c r="AGP122" s="69"/>
      <c r="AGQ122" s="69"/>
      <c r="AGR122" s="69"/>
      <c r="AGS122" s="69"/>
      <c r="AGT122" s="69"/>
      <c r="AGU122" s="69"/>
      <c r="AGV122" s="69"/>
      <c r="AGW122" s="69"/>
      <c r="AGX122" s="69"/>
      <c r="AGY122" s="69"/>
      <c r="AGZ122" s="69"/>
      <c r="AHA122" s="69"/>
      <c r="AHB122" s="69"/>
      <c r="AHC122" s="69"/>
      <c r="AHD122" s="69"/>
      <c r="AHE122" s="69"/>
      <c r="AHF122" s="69"/>
      <c r="AHG122" s="69"/>
      <c r="AHH122" s="69"/>
      <c r="AHI122" s="69"/>
      <c r="AHJ122" s="69"/>
      <c r="AHK122" s="69"/>
      <c r="AHL122" s="69"/>
      <c r="AHM122" s="69"/>
      <c r="AHN122" s="69"/>
      <c r="AHO122" s="69"/>
      <c r="AHP122" s="69"/>
      <c r="AHQ122" s="69"/>
      <c r="AHR122" s="69"/>
      <c r="AHS122" s="69"/>
      <c r="AHT122" s="69"/>
      <c r="AHU122" s="69"/>
      <c r="AHV122" s="69"/>
      <c r="AHW122" s="69"/>
      <c r="AHX122" s="69"/>
      <c r="AHY122" s="69"/>
      <c r="AHZ122" s="69"/>
      <c r="AIA122" s="69"/>
      <c r="AIB122" s="69"/>
      <c r="AIC122" s="69"/>
      <c r="AID122" s="69"/>
      <c r="AIE122" s="69"/>
      <c r="AIF122" s="69"/>
      <c r="AIG122" s="69"/>
      <c r="AIH122" s="69"/>
      <c r="AII122" s="69"/>
      <c r="AIJ122" s="69"/>
      <c r="AIK122" s="69"/>
      <c r="AIL122" s="69"/>
      <c r="AIM122" s="69"/>
      <c r="AIN122" s="69"/>
      <c r="AIO122" s="69"/>
      <c r="AIP122" s="69"/>
      <c r="AIQ122" s="69"/>
      <c r="AIR122" s="69"/>
      <c r="AIS122" s="69"/>
      <c r="AIT122" s="69"/>
      <c r="AIU122" s="69"/>
      <c r="AIV122" s="69"/>
      <c r="AIW122" s="69"/>
      <c r="AIX122" s="69"/>
      <c r="AIY122" s="69"/>
      <c r="AIZ122" s="69"/>
      <c r="AJA122" s="69"/>
      <c r="AJB122" s="69"/>
      <c r="AJC122" s="69"/>
      <c r="AJD122" s="69"/>
      <c r="AJE122" s="69"/>
      <c r="AJF122" s="69"/>
      <c r="AJG122" s="69"/>
      <c r="AJH122" s="69"/>
      <c r="AJI122" s="69"/>
      <c r="AJJ122" s="69"/>
      <c r="AJK122" s="69"/>
      <c r="AJL122" s="69"/>
      <c r="AJM122" s="69"/>
      <c r="AJN122" s="69"/>
      <c r="AJO122" s="69"/>
      <c r="AJP122" s="69"/>
      <c r="AJQ122" s="69"/>
      <c r="AJR122" s="69"/>
      <c r="AJS122" s="69"/>
      <c r="AJT122" s="69"/>
      <c r="AJU122" s="69"/>
      <c r="AJV122" s="69"/>
      <c r="AJW122" s="69"/>
      <c r="AJX122" s="69"/>
      <c r="AJY122" s="69"/>
      <c r="AJZ122" s="69"/>
      <c r="AKA122" s="69"/>
      <c r="AKB122" s="69"/>
      <c r="AKC122" s="69"/>
      <c r="AKD122" s="69"/>
      <c r="AKE122" s="69"/>
      <c r="AKF122" s="69"/>
      <c r="AKG122" s="69"/>
      <c r="AKH122" s="69"/>
      <c r="AKI122" s="69"/>
      <c r="AKJ122" s="69"/>
      <c r="AKK122" s="69"/>
      <c r="AKL122" s="69"/>
      <c r="AKM122" s="69"/>
      <c r="AKN122" s="69"/>
      <c r="AKO122" s="69"/>
      <c r="AKP122" s="69"/>
      <c r="AKQ122" s="69"/>
      <c r="AKR122" s="69"/>
      <c r="AKS122" s="69"/>
      <c r="AKT122" s="69"/>
      <c r="AKU122" s="69"/>
      <c r="AKV122" s="69"/>
      <c r="AKW122" s="69"/>
      <c r="AKX122" s="69"/>
      <c r="AKY122" s="69"/>
      <c r="AKZ122" s="69"/>
      <c r="ALA122" s="69"/>
      <c r="ALB122" s="69"/>
      <c r="ALC122" s="69"/>
      <c r="ALD122" s="69"/>
      <c r="ALE122" s="69"/>
      <c r="ALF122" s="69"/>
      <c r="ALG122" s="69"/>
      <c r="ALH122" s="69"/>
      <c r="ALI122" s="69"/>
      <c r="ALJ122" s="69"/>
      <c r="ALK122" s="69"/>
      <c r="ALL122" s="69"/>
      <c r="ALM122" s="69"/>
      <c r="ALN122" s="69"/>
      <c r="ALO122" s="69"/>
      <c r="ALP122" s="69"/>
      <c r="ALQ122" s="69"/>
      <c r="ALR122" s="69"/>
      <c r="ALS122" s="69"/>
      <c r="ALT122" s="69"/>
      <c r="ALU122" s="69"/>
      <c r="ALV122" s="69"/>
      <c r="ALW122" s="69"/>
      <c r="ALX122" s="69"/>
      <c r="ALY122" s="69"/>
      <c r="ALZ122" s="69"/>
      <c r="AMA122" s="69"/>
      <c r="AMB122" s="69"/>
      <c r="AMC122" s="69"/>
      <c r="AMD122" s="69"/>
      <c r="AME122" s="69"/>
      <c r="AMF122" s="69"/>
      <c r="AMG122" s="69"/>
      <c r="AMH122" s="69"/>
      <c r="AMI122" s="69"/>
      <c r="AMJ122" s="69"/>
      <c r="AMK122" s="69"/>
      <c r="AML122" s="69"/>
      <c r="AMM122" s="69"/>
      <c r="AMN122" s="69"/>
      <c r="AMO122" s="69"/>
      <c r="AMP122" s="69"/>
      <c r="AMQ122" s="69"/>
      <c r="AMR122" s="69"/>
      <c r="AMS122" s="69"/>
      <c r="AMT122" s="69"/>
      <c r="AMU122" s="69"/>
      <c r="AMV122" s="69"/>
      <c r="AMW122" s="69"/>
      <c r="AMX122" s="69"/>
      <c r="AMY122" s="69"/>
      <c r="AMZ122" s="69"/>
      <c r="ANA122" s="69"/>
      <c r="ANB122" s="69"/>
      <c r="ANC122" s="69"/>
      <c r="AND122" s="69"/>
      <c r="ANE122" s="69"/>
      <c r="ANF122" s="69"/>
      <c r="ANG122" s="69"/>
      <c r="ANH122" s="69"/>
      <c r="ANI122" s="69"/>
      <c r="ANJ122" s="69"/>
      <c r="ANK122" s="69"/>
      <c r="ANL122" s="69"/>
      <c r="ANM122" s="69"/>
      <c r="ANN122" s="69"/>
      <c r="ANO122" s="69"/>
      <c r="ANP122" s="69"/>
      <c r="ANQ122" s="69"/>
      <c r="ANR122" s="69"/>
      <c r="ANS122" s="69"/>
      <c r="ANT122" s="69"/>
      <c r="ANU122" s="69"/>
      <c r="ANV122" s="69"/>
      <c r="ANW122" s="69"/>
      <c r="ANX122" s="69"/>
      <c r="ANY122" s="69"/>
      <c r="ANZ122" s="69"/>
      <c r="AOA122" s="69"/>
      <c r="AOB122" s="69"/>
      <c r="AOC122" s="69"/>
      <c r="AOD122" s="69"/>
      <c r="AOE122" s="69"/>
      <c r="AOF122" s="69"/>
      <c r="AOG122" s="69"/>
      <c r="AOH122" s="69"/>
      <c r="AOI122" s="69"/>
      <c r="AOJ122" s="69"/>
      <c r="AOK122" s="69"/>
      <c r="AOL122" s="69"/>
      <c r="AOM122" s="69"/>
      <c r="AON122" s="69"/>
      <c r="AOO122" s="69"/>
      <c r="AOP122" s="69"/>
      <c r="AOQ122" s="69"/>
      <c r="AOR122" s="69"/>
      <c r="AOS122" s="69"/>
      <c r="AOT122" s="69"/>
      <c r="AOU122" s="69"/>
      <c r="AOV122" s="69"/>
      <c r="AOW122" s="69"/>
      <c r="AOX122" s="69"/>
      <c r="AOY122" s="69"/>
      <c r="AOZ122" s="69"/>
      <c r="APA122" s="69"/>
      <c r="APB122" s="69"/>
      <c r="APC122" s="69"/>
      <c r="APD122" s="69"/>
      <c r="APE122" s="69"/>
      <c r="APF122" s="69"/>
      <c r="APG122" s="69"/>
      <c r="APH122" s="69"/>
      <c r="API122" s="69"/>
      <c r="APJ122" s="69"/>
      <c r="APK122" s="69"/>
      <c r="APL122" s="69"/>
      <c r="APM122" s="69"/>
      <c r="APN122" s="69"/>
      <c r="APO122" s="69"/>
      <c r="APP122" s="69"/>
      <c r="APQ122" s="69"/>
      <c r="APR122" s="69"/>
      <c r="APS122" s="69"/>
      <c r="APT122" s="69"/>
      <c r="APU122" s="69"/>
      <c r="APV122" s="69"/>
      <c r="APW122" s="69"/>
      <c r="APX122" s="69"/>
      <c r="APY122" s="69"/>
      <c r="APZ122" s="69"/>
      <c r="AQA122" s="69"/>
      <c r="AQB122" s="69"/>
      <c r="AQC122" s="69"/>
      <c r="AQD122" s="69"/>
      <c r="AQE122" s="69"/>
      <c r="AQF122" s="69"/>
      <c r="AQG122" s="69"/>
      <c r="AQH122" s="69"/>
      <c r="AQI122" s="69"/>
      <c r="AQJ122" s="69"/>
      <c r="AQK122" s="69"/>
      <c r="AQL122" s="69"/>
      <c r="AQM122" s="69"/>
      <c r="AQN122" s="69"/>
      <c r="AQO122" s="69"/>
      <c r="AQP122" s="69"/>
      <c r="AQQ122" s="69"/>
      <c r="AQR122" s="69"/>
      <c r="AQS122" s="69"/>
      <c r="AQT122" s="69"/>
      <c r="AQU122" s="69"/>
      <c r="AQV122" s="69"/>
      <c r="AQW122" s="69"/>
      <c r="AQX122" s="69"/>
      <c r="AQY122" s="69"/>
      <c r="AQZ122" s="69"/>
      <c r="ARA122" s="69"/>
      <c r="ARB122" s="69"/>
      <c r="ARC122" s="69"/>
      <c r="ARD122" s="69"/>
      <c r="ARE122" s="69"/>
      <c r="ARF122" s="69"/>
      <c r="ARG122" s="69"/>
      <c r="ARH122" s="69"/>
      <c r="ARI122" s="69"/>
      <c r="ARJ122" s="69"/>
      <c r="ARK122" s="69"/>
      <c r="ARL122" s="69"/>
      <c r="ARM122" s="69"/>
      <c r="ARN122" s="69"/>
      <c r="ARO122" s="69"/>
      <c r="ARP122" s="69"/>
      <c r="ARQ122" s="69"/>
      <c r="ARR122" s="69"/>
      <c r="ARS122" s="69"/>
      <c r="ART122" s="69"/>
      <c r="ARU122" s="69"/>
      <c r="ARV122" s="69"/>
      <c r="ARW122" s="69"/>
      <c r="ARX122" s="69"/>
      <c r="ARY122" s="69"/>
      <c r="ARZ122" s="69"/>
      <c r="ASA122" s="69"/>
      <c r="ASB122" s="69"/>
      <c r="ASC122" s="69"/>
      <c r="ASD122" s="69"/>
      <c r="ASE122" s="69"/>
      <c r="ASF122" s="69"/>
      <c r="ASG122" s="69"/>
      <c r="ASH122" s="69"/>
      <c r="ASI122" s="69"/>
      <c r="ASJ122" s="69"/>
      <c r="ASK122" s="69"/>
      <c r="ASL122" s="69"/>
      <c r="ASM122" s="69"/>
      <c r="ASN122" s="69"/>
      <c r="ASO122" s="69"/>
      <c r="ASP122" s="69"/>
      <c r="ASQ122" s="69"/>
      <c r="ASR122" s="69"/>
      <c r="ASS122" s="69"/>
      <c r="AST122" s="69"/>
      <c r="ASU122" s="69"/>
      <c r="ASV122" s="69"/>
      <c r="ASW122" s="69"/>
      <c r="ASX122" s="69"/>
      <c r="ASY122" s="69"/>
      <c r="ASZ122" s="69"/>
      <c r="ATA122" s="69"/>
      <c r="ATB122" s="69"/>
      <c r="ATC122" s="69"/>
      <c r="ATD122" s="69"/>
      <c r="ATE122" s="69"/>
      <c r="ATF122" s="69"/>
      <c r="ATG122" s="69"/>
      <c r="ATH122" s="69"/>
      <c r="ATI122" s="69"/>
      <c r="ATJ122" s="69"/>
      <c r="ATK122" s="69"/>
      <c r="ATL122" s="69"/>
      <c r="ATM122" s="69"/>
      <c r="ATN122" s="69"/>
      <c r="ATO122" s="69"/>
      <c r="ATP122" s="69"/>
      <c r="ATQ122" s="69"/>
      <c r="ATR122" s="69"/>
      <c r="ATS122" s="69"/>
      <c r="ATT122" s="69"/>
      <c r="ATU122" s="69"/>
      <c r="ATV122" s="69"/>
      <c r="ATW122" s="69"/>
      <c r="ATX122" s="69"/>
      <c r="ATY122" s="69"/>
      <c r="ATZ122" s="69"/>
      <c r="AUA122" s="69"/>
      <c r="AUB122" s="69"/>
      <c r="AUC122" s="69"/>
      <c r="AUD122" s="69"/>
      <c r="AUE122" s="69"/>
      <c r="AUF122" s="69"/>
      <c r="AUG122" s="69"/>
      <c r="AUH122" s="69"/>
      <c r="AUI122" s="69"/>
      <c r="AUJ122" s="69"/>
      <c r="AUK122" s="69"/>
      <c r="AUL122" s="69"/>
      <c r="AUM122" s="69"/>
      <c r="AUN122" s="69"/>
      <c r="AUO122" s="69"/>
      <c r="AUP122" s="69"/>
      <c r="AUQ122" s="69"/>
      <c r="AUR122" s="69"/>
      <c r="AUS122" s="69"/>
      <c r="AUT122" s="69"/>
      <c r="AUU122" s="69"/>
      <c r="AUV122" s="69"/>
      <c r="AUW122" s="69"/>
      <c r="AUX122" s="69"/>
      <c r="AUY122" s="69"/>
      <c r="AUZ122" s="69"/>
      <c r="AVA122" s="69"/>
      <c r="AVB122" s="69"/>
      <c r="AVC122" s="69"/>
      <c r="AVD122" s="69"/>
      <c r="AVE122" s="69"/>
      <c r="AVF122" s="69"/>
      <c r="AVG122" s="69"/>
      <c r="AVH122" s="69"/>
      <c r="AVI122" s="69"/>
      <c r="AVJ122" s="69"/>
      <c r="AVK122" s="69"/>
      <c r="AVL122" s="69"/>
      <c r="AVM122" s="69"/>
      <c r="AVN122" s="69"/>
      <c r="AVO122" s="69"/>
      <c r="AVP122" s="69"/>
      <c r="AVQ122" s="69"/>
      <c r="AVR122" s="69"/>
      <c r="AVS122" s="69"/>
      <c r="AVT122" s="69"/>
      <c r="AVU122" s="69"/>
      <c r="AVV122" s="69"/>
      <c r="AVW122" s="69"/>
      <c r="AVX122" s="69"/>
      <c r="AVY122" s="69"/>
      <c r="AVZ122" s="69"/>
      <c r="AWA122" s="69"/>
      <c r="AWB122" s="69"/>
      <c r="AWC122" s="69"/>
      <c r="AWD122" s="69"/>
      <c r="AWE122" s="69"/>
      <c r="AWF122" s="69"/>
      <c r="AWG122" s="69"/>
      <c r="AWH122" s="69"/>
      <c r="AWI122" s="69"/>
      <c r="AWJ122" s="69"/>
      <c r="AWK122" s="69"/>
      <c r="AWL122" s="69"/>
      <c r="AWM122" s="69"/>
      <c r="AWN122" s="69"/>
      <c r="AWO122" s="69"/>
      <c r="AWP122" s="69"/>
      <c r="AWQ122" s="69"/>
      <c r="AWR122" s="69"/>
      <c r="AWS122" s="69"/>
      <c r="AWT122" s="69"/>
      <c r="AWU122" s="69"/>
      <c r="AWV122" s="69"/>
      <c r="AWW122" s="69"/>
      <c r="AWX122" s="69"/>
      <c r="AWY122" s="69"/>
      <c r="AWZ122" s="69"/>
      <c r="AXA122" s="69"/>
      <c r="AXB122" s="69"/>
      <c r="AXC122" s="69"/>
      <c r="AXD122" s="69"/>
      <c r="AXE122" s="69"/>
      <c r="AXF122" s="69"/>
      <c r="AXG122" s="69"/>
      <c r="AXH122" s="69"/>
      <c r="AXI122" s="69"/>
      <c r="AXJ122" s="69"/>
      <c r="AXK122" s="69"/>
      <c r="AXL122" s="69"/>
      <c r="AXM122" s="69"/>
      <c r="AXN122" s="69"/>
      <c r="AXO122" s="69"/>
      <c r="AXP122" s="69"/>
      <c r="AXQ122" s="69"/>
      <c r="AXR122" s="69"/>
      <c r="AXS122" s="69"/>
      <c r="AXT122" s="69"/>
      <c r="AXU122" s="69"/>
      <c r="AXV122" s="69"/>
      <c r="AXW122" s="69"/>
      <c r="AXX122" s="69"/>
      <c r="AXY122" s="69"/>
      <c r="AXZ122" s="69"/>
      <c r="AYA122" s="69"/>
      <c r="AYB122" s="69"/>
      <c r="AYC122" s="69"/>
      <c r="AYD122" s="69"/>
      <c r="AYE122" s="69"/>
      <c r="AYF122" s="69"/>
      <c r="AYG122" s="69"/>
      <c r="AYH122" s="69"/>
      <c r="AYI122" s="69"/>
      <c r="AYJ122" s="69"/>
      <c r="AYK122" s="69"/>
      <c r="AYL122" s="69"/>
      <c r="AYM122" s="69"/>
      <c r="AYN122" s="69"/>
      <c r="AYO122" s="69"/>
      <c r="AYP122" s="69"/>
      <c r="AYQ122" s="69"/>
      <c r="AYR122" s="69"/>
      <c r="AYS122" s="69"/>
      <c r="AYT122" s="69"/>
      <c r="AYU122" s="69"/>
      <c r="AYV122" s="69"/>
      <c r="AYW122" s="69"/>
      <c r="AYX122" s="69"/>
      <c r="AYY122" s="69"/>
      <c r="AYZ122" s="69"/>
      <c r="AZA122" s="69"/>
      <c r="AZB122" s="69"/>
      <c r="AZC122" s="69"/>
      <c r="AZD122" s="69"/>
      <c r="AZE122" s="69"/>
      <c r="AZF122" s="69"/>
      <c r="AZG122" s="69"/>
      <c r="AZH122" s="69"/>
      <c r="AZI122" s="69"/>
      <c r="AZJ122" s="69"/>
      <c r="AZK122" s="69"/>
      <c r="AZL122" s="69"/>
      <c r="AZM122" s="69"/>
      <c r="AZN122" s="69"/>
      <c r="AZO122" s="69"/>
      <c r="AZP122" s="69"/>
      <c r="AZQ122" s="69"/>
      <c r="AZR122" s="69"/>
      <c r="AZS122" s="69"/>
      <c r="AZT122" s="69"/>
      <c r="AZU122" s="69"/>
      <c r="AZV122" s="69"/>
      <c r="AZW122" s="69"/>
      <c r="AZX122" s="69"/>
      <c r="AZY122" s="69"/>
      <c r="AZZ122" s="69"/>
      <c r="BAA122" s="69"/>
      <c r="BAB122" s="69"/>
      <c r="BAC122" s="69"/>
      <c r="BAD122" s="69"/>
      <c r="BAE122" s="69"/>
      <c r="BAF122" s="69"/>
      <c r="BAG122" s="69"/>
      <c r="BAH122" s="69"/>
      <c r="BAI122" s="69"/>
      <c r="BAJ122" s="69"/>
      <c r="BAK122" s="69"/>
      <c r="BAL122" s="69"/>
      <c r="BAM122" s="69"/>
      <c r="BAN122" s="69"/>
      <c r="BAO122" s="69"/>
      <c r="BAP122" s="69"/>
      <c r="BAQ122" s="69"/>
      <c r="BAR122" s="69"/>
      <c r="BAS122" s="69"/>
      <c r="BAT122" s="69"/>
      <c r="BAU122" s="69"/>
      <c r="BAV122" s="69"/>
      <c r="BAW122" s="69"/>
      <c r="BAX122" s="69"/>
      <c r="BAY122" s="69"/>
      <c r="BAZ122" s="69"/>
      <c r="BBA122" s="69"/>
      <c r="BBB122" s="69"/>
      <c r="BBC122" s="69"/>
      <c r="BBD122" s="69"/>
      <c r="BBE122" s="69"/>
      <c r="BBF122" s="69"/>
      <c r="BBG122" s="69"/>
      <c r="BBH122" s="69"/>
      <c r="BBI122" s="69"/>
      <c r="BBJ122" s="69"/>
      <c r="BBK122" s="69"/>
      <c r="BBL122" s="69"/>
      <c r="BBM122" s="69"/>
      <c r="BBN122" s="69"/>
      <c r="BBO122" s="69"/>
      <c r="BBP122" s="69"/>
      <c r="BBQ122" s="69"/>
      <c r="BBR122" s="69"/>
      <c r="BBS122" s="69"/>
      <c r="BBT122" s="69"/>
      <c r="BBU122" s="69"/>
      <c r="BBV122" s="69"/>
      <c r="BBW122" s="69"/>
      <c r="BBX122" s="69"/>
      <c r="BBY122" s="69"/>
      <c r="BBZ122" s="69"/>
      <c r="BCA122" s="69"/>
      <c r="BCB122" s="69"/>
      <c r="BCC122" s="69"/>
      <c r="BCD122" s="69"/>
      <c r="BCE122" s="69"/>
      <c r="BCF122" s="69"/>
      <c r="BCG122" s="69"/>
      <c r="BCH122" s="69"/>
      <c r="BCI122" s="69"/>
      <c r="BCJ122" s="69"/>
      <c r="BCK122" s="69"/>
      <c r="BCL122" s="69"/>
      <c r="BCM122" s="69"/>
      <c r="BCN122" s="69"/>
      <c r="BCO122" s="69"/>
      <c r="BCP122" s="69"/>
      <c r="BCQ122" s="69"/>
      <c r="BCR122" s="69"/>
      <c r="BCS122" s="69"/>
      <c r="BCT122" s="69"/>
      <c r="BCU122" s="69"/>
      <c r="BCV122" s="69"/>
      <c r="BCW122" s="69"/>
      <c r="BCX122" s="69"/>
      <c r="BCY122" s="69"/>
      <c r="BCZ122" s="69"/>
      <c r="BDA122" s="69"/>
      <c r="BDB122" s="69"/>
      <c r="BDC122" s="69"/>
      <c r="BDD122" s="69"/>
      <c r="BDE122" s="69"/>
      <c r="BDF122" s="69"/>
      <c r="BDG122" s="69"/>
      <c r="BDH122" s="69"/>
      <c r="BDI122" s="69"/>
      <c r="BDJ122" s="69"/>
      <c r="BDK122" s="69"/>
      <c r="BDL122" s="69"/>
      <c r="BDM122" s="69"/>
      <c r="BDN122" s="69"/>
      <c r="BDO122" s="69"/>
      <c r="BDP122" s="69"/>
      <c r="BDQ122" s="69"/>
      <c r="BDR122" s="69"/>
      <c r="BDS122" s="69"/>
      <c r="BDT122" s="69"/>
      <c r="BDU122" s="69"/>
      <c r="BDV122" s="69"/>
      <c r="BDW122" s="69"/>
      <c r="BDX122" s="69"/>
      <c r="BDY122" s="69"/>
      <c r="BDZ122" s="69"/>
      <c r="BEA122" s="69"/>
      <c r="BEB122" s="69"/>
      <c r="BEC122" s="69"/>
      <c r="BED122" s="69"/>
      <c r="BEE122" s="69"/>
      <c r="BEF122" s="69"/>
      <c r="BEG122" s="69"/>
      <c r="BEH122" s="69"/>
      <c r="BEI122" s="69"/>
      <c r="BEJ122" s="69"/>
      <c r="BEK122" s="69"/>
      <c r="BEL122" s="69"/>
      <c r="BEM122" s="69"/>
      <c r="BEN122" s="69"/>
      <c r="BEO122" s="69"/>
      <c r="BEP122" s="69"/>
      <c r="BEQ122" s="69"/>
      <c r="BER122" s="69"/>
      <c r="BES122" s="69"/>
      <c r="BET122" s="69"/>
      <c r="BEU122" s="69"/>
      <c r="BEV122" s="69"/>
      <c r="BEW122" s="69"/>
      <c r="BEX122" s="69"/>
      <c r="BEY122" s="69"/>
      <c r="BEZ122" s="69"/>
      <c r="BFA122" s="69"/>
      <c r="BFB122" s="69"/>
      <c r="BFC122" s="69"/>
      <c r="BFD122" s="69"/>
      <c r="BFE122" s="69"/>
      <c r="BFF122" s="69"/>
      <c r="BFG122" s="69"/>
      <c r="BFH122" s="69"/>
      <c r="BFI122" s="69"/>
      <c r="BFJ122" s="69"/>
      <c r="BFK122" s="69"/>
      <c r="BFL122" s="69"/>
      <c r="BFM122" s="69"/>
      <c r="BFN122" s="69"/>
      <c r="BFO122" s="69"/>
      <c r="BFP122" s="69"/>
      <c r="BFQ122" s="69"/>
      <c r="BFR122" s="69"/>
      <c r="BFS122" s="69"/>
      <c r="BFT122" s="69"/>
      <c r="BFU122" s="69"/>
      <c r="BFV122" s="69"/>
      <c r="BFW122" s="69"/>
      <c r="BFX122" s="69"/>
      <c r="BFY122" s="69"/>
      <c r="BFZ122" s="69"/>
      <c r="BGA122" s="69"/>
      <c r="BGB122" s="69"/>
      <c r="BGC122" s="69"/>
      <c r="BGD122" s="69"/>
      <c r="BGE122" s="69"/>
      <c r="BGF122" s="69"/>
      <c r="BGG122" s="69"/>
      <c r="BGH122" s="69"/>
      <c r="BGI122" s="69"/>
      <c r="BGJ122" s="69"/>
      <c r="BGK122" s="69"/>
      <c r="BGL122" s="69"/>
      <c r="BGM122" s="69"/>
      <c r="BGN122" s="69"/>
      <c r="BGO122" s="69"/>
      <c r="BGP122" s="69"/>
      <c r="BGQ122" s="69"/>
      <c r="BGR122" s="69"/>
      <c r="BGS122" s="69"/>
      <c r="BGT122" s="69"/>
      <c r="BGU122" s="69"/>
      <c r="BGV122" s="69"/>
      <c r="BGW122" s="69"/>
      <c r="BGX122" s="69"/>
      <c r="BGY122" s="69"/>
      <c r="BGZ122" s="69"/>
      <c r="BHA122" s="69"/>
      <c r="BHB122" s="69"/>
      <c r="BHC122" s="69"/>
      <c r="BHD122" s="69"/>
      <c r="BHE122" s="69"/>
      <c r="BHF122" s="69"/>
      <c r="BHG122" s="69"/>
      <c r="BHH122" s="69"/>
      <c r="BHI122" s="69"/>
      <c r="BHJ122" s="69"/>
      <c r="BHK122" s="69"/>
      <c r="BHL122" s="69"/>
      <c r="BHM122" s="69"/>
      <c r="BHN122" s="69"/>
      <c r="BHO122" s="69"/>
      <c r="BHP122" s="69"/>
      <c r="BHQ122" s="69"/>
      <c r="BHR122" s="69"/>
      <c r="BHS122" s="69"/>
      <c r="BHT122" s="69"/>
      <c r="BHU122" s="69"/>
      <c r="BHV122" s="69"/>
      <c r="BHW122" s="69"/>
      <c r="BHX122" s="69"/>
      <c r="BHY122" s="69"/>
      <c r="BHZ122" s="69"/>
      <c r="BIA122" s="69"/>
      <c r="BIB122" s="69"/>
      <c r="BIC122" s="69"/>
      <c r="BID122" s="69"/>
      <c r="BIE122" s="69"/>
      <c r="BIF122" s="69"/>
      <c r="BIG122" s="69"/>
      <c r="BIH122" s="69"/>
      <c r="BII122" s="69"/>
      <c r="BIJ122" s="69"/>
      <c r="BIK122" s="69"/>
      <c r="BIL122" s="69"/>
      <c r="BIM122" s="69"/>
      <c r="BIN122" s="69"/>
      <c r="BIO122" s="69"/>
      <c r="BIP122" s="69"/>
      <c r="BIQ122" s="69"/>
      <c r="BIR122" s="69"/>
      <c r="BIS122" s="69"/>
      <c r="BIT122" s="69"/>
      <c r="BIU122" s="69"/>
      <c r="BIV122" s="69"/>
      <c r="BIW122" s="69"/>
      <c r="BIX122" s="69"/>
      <c r="BIY122" s="69"/>
      <c r="BIZ122" s="69"/>
      <c r="BJA122" s="69"/>
      <c r="BJB122" s="69"/>
      <c r="BJC122" s="69"/>
      <c r="BJD122" s="69"/>
      <c r="BJE122" s="69"/>
      <c r="BJF122" s="69"/>
      <c r="BJG122" s="69"/>
      <c r="BJH122" s="69"/>
      <c r="BJI122" s="69"/>
      <c r="BJJ122" s="69"/>
      <c r="BJK122" s="69"/>
      <c r="BJL122" s="69"/>
      <c r="BJM122" s="69"/>
      <c r="BJN122" s="69"/>
      <c r="BJO122" s="69"/>
      <c r="BJP122" s="69"/>
      <c r="BJQ122" s="69"/>
      <c r="BJR122" s="69"/>
      <c r="BJS122" s="69"/>
      <c r="BJT122" s="69"/>
      <c r="BJU122" s="69"/>
      <c r="BJV122" s="69"/>
      <c r="BJW122" s="69"/>
      <c r="BJX122" s="69"/>
      <c r="BJY122" s="69"/>
      <c r="BJZ122" s="69"/>
      <c r="BKA122" s="69"/>
      <c r="BKB122" s="69"/>
      <c r="BKC122" s="69"/>
      <c r="BKD122" s="69"/>
      <c r="BKE122" s="69"/>
      <c r="BKF122" s="69"/>
      <c r="BKG122" s="69"/>
      <c r="BKH122" s="69"/>
      <c r="BKI122" s="69"/>
      <c r="BKJ122" s="69"/>
      <c r="BKK122" s="69"/>
      <c r="BKL122" s="69"/>
      <c r="BKM122" s="69"/>
      <c r="BKN122" s="69"/>
      <c r="BKO122" s="69"/>
      <c r="BKP122" s="69"/>
      <c r="BKQ122" s="69"/>
      <c r="BKR122" s="69"/>
      <c r="BKS122" s="69"/>
      <c r="BKT122" s="69"/>
      <c r="BKU122" s="69"/>
      <c r="BKV122" s="69"/>
      <c r="BKW122" s="69"/>
      <c r="BKX122" s="69"/>
      <c r="BKY122" s="69"/>
      <c r="BKZ122" s="69"/>
      <c r="BLA122" s="69"/>
      <c r="BLB122" s="69"/>
      <c r="BLC122" s="69"/>
      <c r="BLD122" s="69"/>
      <c r="BLE122" s="69"/>
      <c r="BLF122" s="69"/>
      <c r="BLG122" s="69"/>
      <c r="BLH122" s="69"/>
      <c r="BLI122" s="69"/>
      <c r="BLJ122" s="69"/>
      <c r="BLK122" s="69"/>
      <c r="BLL122" s="69"/>
      <c r="BLM122" s="69"/>
      <c r="BLN122" s="69"/>
      <c r="BLO122" s="69"/>
      <c r="BLP122" s="69"/>
      <c r="BLQ122" s="69"/>
      <c r="BLR122" s="69"/>
      <c r="BLS122" s="69"/>
      <c r="BLT122" s="69"/>
      <c r="BLU122" s="69"/>
      <c r="BLV122" s="69"/>
      <c r="BLW122" s="69"/>
      <c r="BLX122" s="69"/>
      <c r="BLY122" s="69"/>
      <c r="BLZ122" s="69"/>
      <c r="BMA122" s="69"/>
      <c r="BMB122" s="69"/>
      <c r="BMC122" s="69"/>
      <c r="BMD122" s="69"/>
      <c r="BME122" s="69"/>
      <c r="BMF122" s="69"/>
      <c r="BMG122" s="69"/>
      <c r="BMH122" s="69"/>
      <c r="BMI122" s="69"/>
      <c r="BMJ122" s="69"/>
      <c r="BMK122" s="69"/>
      <c r="BML122" s="69"/>
      <c r="BMM122" s="69"/>
      <c r="BMN122" s="69"/>
      <c r="BMO122" s="69"/>
      <c r="BMP122" s="69"/>
      <c r="BMQ122" s="69"/>
      <c r="BMR122" s="69"/>
      <c r="BMS122" s="69"/>
      <c r="BMT122" s="69"/>
      <c r="BMU122" s="69"/>
      <c r="BMV122" s="69"/>
      <c r="BMW122" s="69"/>
      <c r="BMX122" s="69"/>
      <c r="BMY122" s="69"/>
      <c r="BMZ122" s="69"/>
      <c r="BNA122" s="69"/>
      <c r="BNB122" s="69"/>
      <c r="BNC122" s="69"/>
      <c r="BND122" s="69"/>
      <c r="BNE122" s="69"/>
      <c r="BNF122" s="69"/>
      <c r="BNG122" s="69"/>
      <c r="BNH122" s="69"/>
      <c r="BNI122" s="69"/>
      <c r="BNJ122" s="69"/>
      <c r="BNK122" s="69"/>
      <c r="BNL122" s="69"/>
      <c r="BNM122" s="69"/>
      <c r="BNN122" s="69"/>
      <c r="BNO122" s="69"/>
      <c r="BNP122" s="69"/>
      <c r="BNQ122" s="69"/>
      <c r="BNR122" s="69"/>
      <c r="BNS122" s="69"/>
      <c r="BNT122" s="69"/>
      <c r="BNU122" s="69"/>
      <c r="BNV122" s="69"/>
      <c r="BNW122" s="69"/>
      <c r="BNX122" s="69"/>
      <c r="BNY122" s="69"/>
      <c r="BNZ122" s="69"/>
      <c r="BOA122" s="69"/>
      <c r="BOB122" s="69"/>
      <c r="BOC122" s="69"/>
      <c r="BOD122" s="69"/>
      <c r="BOE122" s="69"/>
      <c r="BOF122" s="69"/>
      <c r="BOG122" s="69"/>
      <c r="BOH122" s="69"/>
      <c r="BOI122" s="69"/>
      <c r="BOJ122" s="69"/>
      <c r="BOK122" s="69"/>
      <c r="BOL122" s="69"/>
      <c r="BOM122" s="69"/>
      <c r="BON122" s="69"/>
      <c r="BOO122" s="69"/>
      <c r="BOP122" s="69"/>
      <c r="BOQ122" s="69"/>
      <c r="BOR122" s="69"/>
      <c r="BOS122" s="69"/>
      <c r="BOT122" s="69"/>
      <c r="BOU122" s="69"/>
      <c r="BOV122" s="69"/>
      <c r="BOW122" s="69"/>
      <c r="BOX122" s="69"/>
      <c r="BOY122" s="69"/>
      <c r="BOZ122" s="69"/>
      <c r="BPA122" s="69"/>
      <c r="BPB122" s="69"/>
      <c r="BPC122" s="69"/>
      <c r="BPD122" s="69"/>
      <c r="BPE122" s="69"/>
      <c r="BPF122" s="69"/>
      <c r="BPG122" s="69"/>
      <c r="BPH122" s="69"/>
      <c r="BPI122" s="69"/>
      <c r="BPJ122" s="69"/>
      <c r="BPK122" s="69"/>
      <c r="BPL122" s="69"/>
      <c r="BPM122" s="69"/>
      <c r="BPN122" s="69"/>
      <c r="BPO122" s="69"/>
      <c r="BPP122" s="69"/>
      <c r="BPQ122" s="69"/>
      <c r="BPR122" s="69"/>
      <c r="BPS122" s="69"/>
      <c r="BPT122" s="69"/>
      <c r="BPU122" s="69"/>
      <c r="BPV122" s="69"/>
      <c r="BPW122" s="69"/>
      <c r="BPX122" s="69"/>
      <c r="BPY122" s="69"/>
      <c r="BPZ122" s="69"/>
      <c r="BQA122" s="69"/>
      <c r="BQB122" s="69"/>
      <c r="BQC122" s="69"/>
      <c r="BQD122" s="69"/>
      <c r="BQE122" s="69"/>
      <c r="BQF122" s="69"/>
      <c r="BQG122" s="69"/>
      <c r="BQH122" s="69"/>
      <c r="BQI122" s="69"/>
      <c r="BQJ122" s="69"/>
      <c r="BQK122" s="69"/>
      <c r="BQL122" s="69"/>
      <c r="BQM122" s="69"/>
      <c r="BQN122" s="69"/>
      <c r="BQO122" s="69"/>
      <c r="BQP122" s="69"/>
      <c r="BQQ122" s="69"/>
      <c r="BQR122" s="69"/>
      <c r="BQS122" s="69"/>
      <c r="BQT122" s="69"/>
      <c r="BQU122" s="69"/>
      <c r="BQV122" s="69"/>
      <c r="BQW122" s="69"/>
      <c r="BQX122" s="69"/>
      <c r="BQY122" s="69"/>
      <c r="BQZ122" s="69"/>
      <c r="BRA122" s="69"/>
      <c r="BRB122" s="69"/>
      <c r="BRC122" s="69"/>
      <c r="BRD122" s="69"/>
      <c r="BRE122" s="69"/>
      <c r="BRF122" s="69"/>
      <c r="BRG122" s="69"/>
      <c r="BRH122" s="69"/>
      <c r="BRI122" s="69"/>
      <c r="BRJ122" s="69"/>
      <c r="BRK122" s="69"/>
      <c r="BRL122" s="69"/>
      <c r="BRM122" s="69"/>
      <c r="BRN122" s="69"/>
      <c r="BRO122" s="69"/>
      <c r="BRP122" s="69"/>
      <c r="BRQ122" s="69"/>
      <c r="BRR122" s="69"/>
      <c r="BRS122" s="69"/>
      <c r="BRT122" s="69"/>
      <c r="BRU122" s="69"/>
      <c r="BRV122" s="69"/>
      <c r="BRW122" s="69"/>
      <c r="BRX122" s="69"/>
      <c r="BRY122" s="69"/>
      <c r="BRZ122" s="69"/>
      <c r="BSA122" s="69"/>
      <c r="BSB122" s="69"/>
      <c r="BSC122" s="69"/>
      <c r="BSD122" s="69"/>
      <c r="BSE122" s="69"/>
      <c r="BSF122" s="69"/>
      <c r="BSG122" s="69"/>
      <c r="BSH122" s="69"/>
      <c r="BSI122" s="69"/>
      <c r="BSJ122" s="69"/>
      <c r="BSK122" s="69"/>
      <c r="BSL122" s="69"/>
      <c r="BSM122" s="69"/>
      <c r="BSN122" s="69"/>
      <c r="BSO122" s="69"/>
      <c r="BSP122" s="69"/>
      <c r="BSQ122" s="69"/>
      <c r="BSR122" s="69"/>
      <c r="BSS122" s="69"/>
      <c r="BST122" s="69"/>
      <c r="BSU122" s="69"/>
      <c r="BSV122" s="69"/>
      <c r="BSW122" s="69"/>
      <c r="BSX122" s="69"/>
      <c r="BSY122" s="69"/>
      <c r="BSZ122" s="69"/>
      <c r="BTA122" s="69"/>
      <c r="BTB122" s="69"/>
      <c r="BTC122" s="69"/>
      <c r="BTD122" s="69"/>
      <c r="BTE122" s="69"/>
      <c r="BTF122" s="69"/>
      <c r="BTG122" s="69"/>
      <c r="BTH122" s="69"/>
      <c r="BTI122" s="69"/>
      <c r="BTJ122" s="69"/>
      <c r="BTK122" s="69"/>
      <c r="BTL122" s="69"/>
      <c r="BTM122" s="69"/>
      <c r="BTN122" s="69"/>
      <c r="BTO122" s="69"/>
      <c r="BTP122" s="69"/>
      <c r="BTQ122" s="69"/>
      <c r="BTR122" s="69"/>
      <c r="BTS122" s="69"/>
      <c r="BTT122" s="69"/>
      <c r="BTU122" s="69"/>
      <c r="BTV122" s="69"/>
      <c r="BTW122" s="69"/>
      <c r="BTX122" s="69"/>
      <c r="BTY122" s="69"/>
      <c r="BTZ122" s="69"/>
      <c r="BUA122" s="69"/>
      <c r="BUB122" s="69"/>
      <c r="BUC122" s="69"/>
      <c r="BUD122" s="69"/>
      <c r="BUE122" s="69"/>
      <c r="BUF122" s="69"/>
      <c r="BUG122" s="69"/>
      <c r="BUH122" s="69"/>
      <c r="BUI122" s="69"/>
      <c r="BUJ122" s="69"/>
      <c r="BUK122" s="69"/>
      <c r="BUL122" s="69"/>
      <c r="BUM122" s="69"/>
      <c r="BUN122" s="69"/>
      <c r="BUO122" s="69"/>
      <c r="BUP122" s="69"/>
      <c r="BUQ122" s="69"/>
      <c r="BUR122" s="69"/>
      <c r="BUS122" s="69"/>
      <c r="BUT122" s="69"/>
      <c r="BUU122" s="69"/>
      <c r="BUV122" s="69"/>
      <c r="BUW122" s="69"/>
      <c r="BUX122" s="69"/>
      <c r="BUY122" s="69"/>
      <c r="BUZ122" s="69"/>
      <c r="BVA122" s="69"/>
      <c r="BVB122" s="69"/>
      <c r="BVC122" s="69"/>
      <c r="BVD122" s="69"/>
      <c r="BVE122" s="69"/>
      <c r="BVF122" s="69"/>
      <c r="BVG122" s="69"/>
      <c r="BVH122" s="69"/>
      <c r="BVI122" s="69"/>
      <c r="BVJ122" s="69"/>
      <c r="BVK122" s="69"/>
      <c r="BVL122" s="69"/>
      <c r="BVM122" s="69"/>
      <c r="BVN122" s="69"/>
      <c r="BVO122" s="69"/>
      <c r="BVP122" s="69"/>
      <c r="BVQ122" s="69"/>
      <c r="BVR122" s="69"/>
      <c r="BVS122" s="69"/>
      <c r="BVT122" s="69"/>
      <c r="BVU122" s="69"/>
      <c r="BVV122" s="69"/>
      <c r="BVW122" s="69"/>
      <c r="BVX122" s="69"/>
      <c r="BVY122" s="69"/>
      <c r="BVZ122" s="69"/>
      <c r="BWA122" s="69"/>
      <c r="BWB122" s="69"/>
      <c r="BWC122" s="69"/>
      <c r="BWD122" s="69"/>
      <c r="BWE122" s="69"/>
      <c r="BWF122" s="69"/>
      <c r="BWG122" s="69"/>
      <c r="BWH122" s="69"/>
      <c r="BWI122" s="69"/>
      <c r="BWJ122" s="69"/>
      <c r="BWK122" s="69"/>
      <c r="BWL122" s="69"/>
      <c r="BWM122" s="69"/>
      <c r="BWN122" s="69"/>
      <c r="BWO122" s="69"/>
      <c r="BWP122" s="69"/>
      <c r="BWQ122" s="69"/>
      <c r="BWR122" s="69"/>
      <c r="BWS122" s="69"/>
      <c r="BWT122" s="69"/>
      <c r="BWU122" s="69"/>
      <c r="BWV122" s="69"/>
      <c r="BWW122" s="69"/>
      <c r="BWX122" s="69"/>
      <c r="BWY122" s="69"/>
      <c r="BWZ122" s="69"/>
      <c r="BXA122" s="69"/>
      <c r="BXB122" s="69"/>
      <c r="BXC122" s="69"/>
      <c r="BXD122" s="69"/>
      <c r="BXE122" s="69"/>
      <c r="BXF122" s="69"/>
      <c r="BXG122" s="69"/>
      <c r="BXH122" s="69"/>
      <c r="BXI122" s="69"/>
      <c r="BXJ122" s="69"/>
      <c r="BXK122" s="69"/>
      <c r="BXL122" s="69"/>
      <c r="BXM122" s="69"/>
      <c r="BXN122" s="69"/>
      <c r="BXO122" s="69"/>
      <c r="BXP122" s="69"/>
      <c r="BXQ122" s="69"/>
      <c r="BXR122" s="69"/>
      <c r="BXS122" s="69"/>
      <c r="BXT122" s="69"/>
      <c r="BXU122" s="69"/>
      <c r="BXV122" s="69"/>
      <c r="BXW122" s="69"/>
      <c r="BXX122" s="69"/>
      <c r="BXY122" s="69"/>
      <c r="BXZ122" s="69"/>
      <c r="BYA122" s="69"/>
      <c r="BYB122" s="69"/>
      <c r="BYC122" s="69"/>
      <c r="BYD122" s="69"/>
      <c r="BYE122" s="69"/>
      <c r="BYF122" s="69"/>
      <c r="BYG122" s="69"/>
      <c r="BYH122" s="69"/>
      <c r="BYI122" s="69"/>
      <c r="BYJ122" s="69"/>
      <c r="BYK122" s="69"/>
      <c r="BYL122" s="69"/>
      <c r="BYM122" s="69"/>
      <c r="BYN122" s="69"/>
      <c r="BYO122" s="69"/>
      <c r="BYP122" s="69"/>
      <c r="BYQ122" s="69"/>
      <c r="BYR122" s="69"/>
      <c r="BYS122" s="69"/>
      <c r="BYT122" s="69"/>
      <c r="BYU122" s="69"/>
      <c r="BYV122" s="69"/>
      <c r="BYW122" s="69"/>
      <c r="BYX122" s="69"/>
      <c r="BYY122" s="69"/>
      <c r="BYZ122" s="69"/>
      <c r="BZA122" s="69"/>
      <c r="BZB122" s="69"/>
      <c r="BZC122" s="69"/>
      <c r="BZD122" s="69"/>
      <c r="BZE122" s="69"/>
      <c r="BZF122" s="69"/>
      <c r="BZG122" s="69"/>
      <c r="BZH122" s="69"/>
      <c r="BZI122" s="69"/>
      <c r="BZJ122" s="69"/>
      <c r="BZK122" s="69"/>
      <c r="BZL122" s="69"/>
      <c r="BZM122" s="69"/>
      <c r="BZN122" s="69"/>
      <c r="BZO122" s="69"/>
      <c r="BZP122" s="69"/>
      <c r="BZQ122" s="69"/>
      <c r="BZR122" s="69"/>
      <c r="BZS122" s="69"/>
      <c r="BZT122" s="69"/>
      <c r="BZU122" s="69"/>
      <c r="BZV122" s="69"/>
      <c r="BZW122" s="69"/>
      <c r="BZX122" s="69"/>
      <c r="BZY122" s="69"/>
      <c r="BZZ122" s="69"/>
      <c r="CAA122" s="69"/>
      <c r="CAB122" s="69"/>
      <c r="CAC122" s="69"/>
      <c r="CAD122" s="69"/>
      <c r="CAE122" s="69"/>
      <c r="CAF122" s="69"/>
      <c r="CAG122" s="69"/>
      <c r="CAH122" s="69"/>
      <c r="CAI122" s="69"/>
      <c r="CAJ122" s="69"/>
      <c r="CAK122" s="69"/>
      <c r="CAL122" s="69"/>
      <c r="CAM122" s="69"/>
      <c r="CAN122" s="69"/>
      <c r="CAO122" s="69"/>
      <c r="CAP122" s="69"/>
      <c r="CAQ122" s="69"/>
      <c r="CAR122" s="69"/>
      <c r="CAS122" s="69"/>
      <c r="CAT122" s="69"/>
      <c r="CAU122" s="69"/>
      <c r="CAV122" s="69"/>
      <c r="CAW122" s="69"/>
      <c r="CAX122" s="69"/>
      <c r="CAY122" s="69"/>
      <c r="CAZ122" s="69"/>
      <c r="CBA122" s="69"/>
      <c r="CBB122" s="69"/>
      <c r="CBC122" s="69"/>
      <c r="CBD122" s="69"/>
      <c r="CBE122" s="69"/>
      <c r="CBF122" s="69"/>
      <c r="CBG122" s="69"/>
      <c r="CBH122" s="69"/>
      <c r="CBI122" s="69"/>
      <c r="CBJ122" s="69"/>
      <c r="CBK122" s="69"/>
      <c r="CBL122" s="69"/>
      <c r="CBM122" s="69"/>
      <c r="CBN122" s="69"/>
      <c r="CBO122" s="69"/>
      <c r="CBP122" s="69"/>
      <c r="CBQ122" s="69"/>
      <c r="CBR122" s="69"/>
      <c r="CBS122" s="69"/>
      <c r="CBT122" s="69"/>
      <c r="CBU122" s="69"/>
      <c r="CBV122" s="69"/>
      <c r="CBW122" s="69"/>
      <c r="CBX122" s="69"/>
      <c r="CBY122" s="69"/>
      <c r="CBZ122" s="69"/>
      <c r="CCA122" s="69"/>
      <c r="CCB122" s="69"/>
      <c r="CCC122" s="69"/>
      <c r="CCD122" s="69"/>
      <c r="CCE122" s="69"/>
      <c r="CCF122" s="69"/>
      <c r="CCG122" s="69"/>
      <c r="CCH122" s="69"/>
      <c r="CCI122" s="69"/>
      <c r="CCJ122" s="69"/>
      <c r="CCK122" s="69"/>
      <c r="CCL122" s="69"/>
      <c r="CCM122" s="69"/>
      <c r="CCN122" s="69"/>
      <c r="CCO122" s="69"/>
      <c r="CCP122" s="69"/>
      <c r="CCQ122" s="69"/>
      <c r="CCR122" s="69"/>
      <c r="CCS122" s="69"/>
      <c r="CCT122" s="69"/>
      <c r="CCU122" s="69"/>
      <c r="CCV122" s="69"/>
      <c r="CCW122" s="69"/>
      <c r="CCX122" s="69"/>
      <c r="CCY122" s="69"/>
      <c r="CCZ122" s="69"/>
      <c r="CDA122" s="69"/>
      <c r="CDB122" s="69"/>
      <c r="CDC122" s="69"/>
      <c r="CDD122" s="69"/>
      <c r="CDE122" s="69"/>
      <c r="CDF122" s="69"/>
      <c r="CDG122" s="69"/>
      <c r="CDH122" s="69"/>
      <c r="CDI122" s="69"/>
      <c r="CDJ122" s="69"/>
      <c r="CDK122" s="69"/>
      <c r="CDL122" s="69"/>
      <c r="CDM122" s="69"/>
      <c r="CDN122" s="69"/>
      <c r="CDO122" s="69"/>
      <c r="CDP122" s="69"/>
      <c r="CDQ122" s="69"/>
      <c r="CDR122" s="69"/>
      <c r="CDS122" s="69"/>
      <c r="CDT122" s="69"/>
      <c r="CDU122" s="69"/>
      <c r="CDV122" s="69"/>
      <c r="CDW122" s="69"/>
      <c r="CDX122" s="69"/>
      <c r="CDY122" s="69"/>
      <c r="CDZ122" s="69"/>
      <c r="CEA122" s="69"/>
      <c r="CEB122" s="69"/>
      <c r="CEC122" s="69"/>
      <c r="CED122" s="69"/>
      <c r="CEE122" s="69"/>
      <c r="CEF122" s="69"/>
      <c r="CEG122" s="69"/>
      <c r="CEH122" s="69"/>
      <c r="CEI122" s="69"/>
      <c r="CEJ122" s="69"/>
      <c r="CEK122" s="69"/>
      <c r="CEL122" s="69"/>
      <c r="CEM122" s="69"/>
      <c r="CEN122" s="69"/>
      <c r="CEO122" s="69"/>
      <c r="CEP122" s="69"/>
      <c r="CEQ122" s="69"/>
      <c r="CER122" s="69"/>
      <c r="CES122" s="69"/>
      <c r="CET122" s="69"/>
      <c r="CEU122" s="69"/>
      <c r="CEV122" s="69"/>
      <c r="CEW122" s="69"/>
      <c r="CEX122" s="69"/>
      <c r="CEY122" s="69"/>
      <c r="CEZ122" s="69"/>
      <c r="CFA122" s="69"/>
      <c r="CFB122" s="69"/>
      <c r="CFC122" s="69"/>
      <c r="CFD122" s="69"/>
      <c r="CFE122" s="69"/>
      <c r="CFF122" s="69"/>
      <c r="CFG122" s="69"/>
      <c r="CFH122" s="69"/>
      <c r="CFI122" s="69"/>
      <c r="CFJ122" s="69"/>
      <c r="CFK122" s="69"/>
      <c r="CFL122" s="69"/>
      <c r="CFM122" s="69"/>
      <c r="CFN122" s="69"/>
      <c r="CFO122" s="69"/>
      <c r="CFP122" s="69"/>
      <c r="CFQ122" s="69"/>
      <c r="CFR122" s="69"/>
      <c r="CFS122" s="69"/>
      <c r="CFT122" s="69"/>
      <c r="CFU122" s="69"/>
      <c r="CFV122" s="69"/>
      <c r="CFW122" s="69"/>
      <c r="CFX122" s="69"/>
      <c r="CFY122" s="69"/>
      <c r="CFZ122" s="69"/>
      <c r="CGA122" s="69"/>
      <c r="CGB122" s="69"/>
      <c r="CGC122" s="69"/>
      <c r="CGD122" s="69"/>
      <c r="CGE122" s="69"/>
      <c r="CGF122" s="69"/>
      <c r="CGG122" s="69"/>
      <c r="CGH122" s="69"/>
      <c r="CGI122" s="69"/>
      <c r="CGJ122" s="69"/>
      <c r="CGK122" s="69"/>
      <c r="CGL122" s="69"/>
      <c r="CGM122" s="69"/>
      <c r="CGN122" s="69"/>
      <c r="CGO122" s="69"/>
      <c r="CGP122" s="69"/>
      <c r="CGQ122" s="69"/>
      <c r="CGR122" s="69"/>
      <c r="CGS122" s="69"/>
      <c r="CGT122" s="69"/>
      <c r="CGU122" s="69"/>
      <c r="CGV122" s="69"/>
      <c r="CGW122" s="69"/>
      <c r="CGX122" s="69"/>
      <c r="CGY122" s="69"/>
      <c r="CGZ122" s="69"/>
      <c r="CHA122" s="69"/>
      <c r="CHB122" s="69"/>
      <c r="CHC122" s="69"/>
      <c r="CHD122" s="69"/>
      <c r="CHE122" s="69"/>
      <c r="CHF122" s="69"/>
      <c r="CHG122" s="69"/>
      <c r="CHH122" s="69"/>
      <c r="CHI122" s="69"/>
      <c r="CHJ122" s="69"/>
      <c r="CHK122" s="69"/>
      <c r="CHL122" s="69"/>
      <c r="CHM122" s="69"/>
      <c r="CHN122" s="69"/>
      <c r="CHO122" s="69"/>
      <c r="CHP122" s="69"/>
      <c r="CHQ122" s="69"/>
      <c r="CHR122" s="69"/>
      <c r="CHS122" s="69"/>
      <c r="CHT122" s="69"/>
      <c r="CHU122" s="69"/>
      <c r="CHV122" s="69"/>
      <c r="CHW122" s="69"/>
      <c r="CHX122" s="69"/>
      <c r="CHY122" s="69"/>
      <c r="CHZ122" s="69"/>
      <c r="CIA122" s="69"/>
      <c r="CIB122" s="69"/>
      <c r="CIC122" s="69"/>
      <c r="CID122" s="69"/>
      <c r="CIE122" s="69"/>
      <c r="CIF122" s="69"/>
      <c r="CIG122" s="69"/>
      <c r="CIH122" s="69"/>
      <c r="CII122" s="69"/>
      <c r="CIJ122" s="69"/>
      <c r="CIK122" s="69"/>
      <c r="CIL122" s="69"/>
      <c r="CIM122" s="69"/>
      <c r="CIN122" s="69"/>
      <c r="CIO122" s="69"/>
      <c r="CIP122" s="69"/>
      <c r="CIQ122" s="69"/>
      <c r="CIR122" s="69"/>
      <c r="CIS122" s="69"/>
      <c r="CIT122" s="69"/>
      <c r="CIU122" s="69"/>
      <c r="CIV122" s="69"/>
      <c r="CIW122" s="69"/>
      <c r="CIX122" s="69"/>
      <c r="CIY122" s="69"/>
      <c r="CIZ122" s="69"/>
      <c r="CJA122" s="69"/>
      <c r="CJB122" s="69"/>
      <c r="CJC122" s="69"/>
      <c r="CJD122" s="69"/>
      <c r="CJE122" s="69"/>
      <c r="CJF122" s="69"/>
      <c r="CJG122" s="69"/>
      <c r="CJH122" s="69"/>
      <c r="CJI122" s="69"/>
      <c r="CJJ122" s="69"/>
      <c r="CJK122" s="69"/>
      <c r="CJL122" s="69"/>
      <c r="CJM122" s="69"/>
      <c r="CJN122" s="69"/>
      <c r="CJO122" s="69"/>
      <c r="CJP122" s="69"/>
      <c r="CJQ122" s="69"/>
      <c r="CJR122" s="69"/>
      <c r="CJS122" s="69"/>
      <c r="CJT122" s="69"/>
      <c r="CJU122" s="69"/>
      <c r="CJV122" s="69"/>
      <c r="CJW122" s="69"/>
      <c r="CJX122" s="69"/>
      <c r="CJY122" s="69"/>
      <c r="CJZ122" s="69"/>
      <c r="CKA122" s="69"/>
      <c r="CKB122" s="69"/>
      <c r="CKC122" s="69"/>
      <c r="CKD122" s="69"/>
      <c r="CKE122" s="69"/>
      <c r="CKF122" s="69"/>
      <c r="CKG122" s="69"/>
      <c r="CKH122" s="69"/>
      <c r="CKI122" s="69"/>
      <c r="CKJ122" s="69"/>
      <c r="CKK122" s="69"/>
      <c r="CKL122" s="69"/>
      <c r="CKM122" s="69"/>
      <c r="CKN122" s="69"/>
      <c r="CKO122" s="69"/>
      <c r="CKP122" s="69"/>
      <c r="CKQ122" s="69"/>
      <c r="CKR122" s="69"/>
      <c r="CKS122" s="69"/>
      <c r="CKT122" s="69"/>
      <c r="CKU122" s="69"/>
      <c r="CKV122" s="69"/>
      <c r="CKW122" s="69"/>
      <c r="CKX122" s="69"/>
      <c r="CKY122" s="69"/>
      <c r="CKZ122" s="69"/>
      <c r="CLA122" s="69"/>
      <c r="CLB122" s="69"/>
      <c r="CLC122" s="69"/>
      <c r="CLD122" s="69"/>
      <c r="CLE122" s="69"/>
      <c r="CLF122" s="69"/>
      <c r="CLG122" s="69"/>
      <c r="CLH122" s="69"/>
      <c r="CLI122" s="69"/>
      <c r="CLJ122" s="69"/>
      <c r="CLK122" s="69"/>
      <c r="CLL122" s="69"/>
      <c r="CLM122" s="69"/>
      <c r="CLN122" s="69"/>
      <c r="CLO122" s="69"/>
      <c r="CLP122" s="69"/>
      <c r="CLQ122" s="69"/>
      <c r="CLR122" s="69"/>
      <c r="CLS122" s="69"/>
      <c r="CLT122" s="69"/>
      <c r="CLU122" s="69"/>
      <c r="CLV122" s="69"/>
      <c r="CLW122" s="69"/>
      <c r="CLX122" s="69"/>
      <c r="CLY122" s="69"/>
      <c r="CLZ122" s="69"/>
      <c r="CMA122" s="69"/>
      <c r="CMB122" s="69"/>
      <c r="CMC122" s="69"/>
      <c r="CMD122" s="69"/>
      <c r="CME122" s="69"/>
      <c r="CMF122" s="69"/>
      <c r="CMG122" s="69"/>
      <c r="CMH122" s="69"/>
      <c r="CMI122" s="69"/>
      <c r="CMJ122" s="69"/>
      <c r="CMK122" s="69"/>
      <c r="CML122" s="69"/>
      <c r="CMM122" s="69"/>
      <c r="CMN122" s="69"/>
      <c r="CMO122" s="69"/>
      <c r="CMP122" s="69"/>
      <c r="CMQ122" s="69"/>
      <c r="CMR122" s="69"/>
      <c r="CMS122" s="69"/>
      <c r="CMT122" s="69"/>
      <c r="CMU122" s="69"/>
      <c r="CMV122" s="69"/>
      <c r="CMW122" s="69"/>
      <c r="CMX122" s="69"/>
      <c r="CMY122" s="69"/>
      <c r="CMZ122" s="69"/>
      <c r="CNA122" s="69"/>
      <c r="CNB122" s="69"/>
      <c r="CNC122" s="69"/>
      <c r="CND122" s="69"/>
      <c r="CNE122" s="69"/>
      <c r="CNF122" s="69"/>
      <c r="CNG122" s="69"/>
      <c r="CNH122" s="69"/>
      <c r="CNI122" s="69"/>
      <c r="CNJ122" s="69"/>
      <c r="CNK122" s="69"/>
      <c r="CNL122" s="69"/>
      <c r="CNM122" s="69"/>
      <c r="CNN122" s="69"/>
      <c r="CNO122" s="69"/>
      <c r="CNP122" s="69"/>
      <c r="CNQ122" s="69"/>
      <c r="CNR122" s="69"/>
      <c r="CNS122" s="69"/>
      <c r="CNT122" s="69"/>
      <c r="CNU122" s="69"/>
      <c r="CNV122" s="69"/>
      <c r="CNW122" s="69"/>
      <c r="CNX122" s="69"/>
      <c r="CNY122" s="69"/>
      <c r="CNZ122" s="69"/>
      <c r="COA122" s="69"/>
      <c r="COB122" s="69"/>
      <c r="COC122" s="69"/>
      <c r="COD122" s="69"/>
      <c r="COE122" s="69"/>
      <c r="COF122" s="69"/>
      <c r="COG122" s="69"/>
      <c r="COH122" s="69"/>
      <c r="COI122" s="69"/>
      <c r="COJ122" s="69"/>
      <c r="COK122" s="69"/>
      <c r="COL122" s="69"/>
      <c r="COM122" s="69"/>
      <c r="CON122" s="69"/>
      <c r="COO122" s="69"/>
      <c r="COP122" s="69"/>
      <c r="COQ122" s="69"/>
      <c r="COR122" s="69"/>
      <c r="COS122" s="69"/>
      <c r="COT122" s="69"/>
      <c r="COU122" s="69"/>
      <c r="COV122" s="69"/>
      <c r="COW122" s="69"/>
      <c r="COX122" s="69"/>
      <c r="COY122" s="69"/>
      <c r="COZ122" s="69"/>
      <c r="CPA122" s="69"/>
      <c r="CPB122" s="69"/>
      <c r="CPC122" s="69"/>
      <c r="CPD122" s="69"/>
      <c r="CPE122" s="69"/>
      <c r="CPF122" s="69"/>
      <c r="CPG122" s="69"/>
      <c r="CPH122" s="69"/>
      <c r="CPI122" s="69"/>
      <c r="CPJ122" s="69"/>
      <c r="CPK122" s="69"/>
      <c r="CPL122" s="69"/>
      <c r="CPM122" s="69"/>
      <c r="CPN122" s="69"/>
      <c r="CPO122" s="69"/>
      <c r="CPP122" s="69"/>
      <c r="CPQ122" s="69"/>
      <c r="CPR122" s="69"/>
      <c r="CPS122" s="69"/>
      <c r="CPT122" s="69"/>
      <c r="CPU122" s="69"/>
      <c r="CPV122" s="69"/>
      <c r="CPW122" s="69"/>
      <c r="CPX122" s="69"/>
      <c r="CPY122" s="69"/>
      <c r="CPZ122" s="69"/>
      <c r="CQA122" s="69"/>
      <c r="CQB122" s="69"/>
      <c r="CQC122" s="69"/>
      <c r="CQD122" s="69"/>
      <c r="CQE122" s="69"/>
      <c r="CQF122" s="69"/>
      <c r="CQG122" s="69"/>
      <c r="CQH122" s="69"/>
      <c r="CQI122" s="69"/>
      <c r="CQJ122" s="69"/>
      <c r="CQK122" s="69"/>
      <c r="CQL122" s="69"/>
      <c r="CQM122" s="69"/>
      <c r="CQN122" s="69"/>
      <c r="CQO122" s="69"/>
      <c r="CQP122" s="69"/>
      <c r="CQQ122" s="69"/>
      <c r="CQR122" s="69"/>
      <c r="CQS122" s="69"/>
      <c r="CQT122" s="69"/>
      <c r="CQU122" s="69"/>
      <c r="CQV122" s="69"/>
      <c r="CQW122" s="69"/>
      <c r="CQX122" s="69"/>
      <c r="CQY122" s="69"/>
      <c r="CQZ122" s="69"/>
      <c r="CRA122" s="69"/>
      <c r="CRB122" s="69"/>
      <c r="CRC122" s="69"/>
      <c r="CRD122" s="69"/>
      <c r="CRE122" s="69"/>
      <c r="CRF122" s="69"/>
      <c r="CRG122" s="69"/>
      <c r="CRH122" s="69"/>
      <c r="CRI122" s="69"/>
      <c r="CRJ122" s="69"/>
      <c r="CRK122" s="69"/>
      <c r="CRL122" s="69"/>
      <c r="CRM122" s="69"/>
      <c r="CRN122" s="69"/>
      <c r="CRO122" s="69"/>
      <c r="CRP122" s="69"/>
      <c r="CRQ122" s="69"/>
      <c r="CRR122" s="69"/>
      <c r="CRS122" s="69"/>
      <c r="CRT122" s="69"/>
      <c r="CRU122" s="69"/>
      <c r="CRV122" s="69"/>
      <c r="CRW122" s="69"/>
      <c r="CRX122" s="69"/>
      <c r="CRY122" s="69"/>
      <c r="CRZ122" s="69"/>
      <c r="CSA122" s="69"/>
      <c r="CSB122" s="69"/>
      <c r="CSC122" s="69"/>
      <c r="CSD122" s="69"/>
      <c r="CSE122" s="69"/>
      <c r="CSF122" s="69"/>
      <c r="CSG122" s="69"/>
      <c r="CSH122" s="69"/>
      <c r="CSI122" s="69"/>
      <c r="CSJ122" s="69"/>
      <c r="CSK122" s="69"/>
      <c r="CSL122" s="69"/>
      <c r="CSM122" s="69"/>
      <c r="CSN122" s="69"/>
      <c r="CSO122" s="69"/>
      <c r="CSP122" s="69"/>
      <c r="CSQ122" s="69"/>
      <c r="CSR122" s="69"/>
      <c r="CSS122" s="69"/>
      <c r="CST122" s="69"/>
      <c r="CSU122" s="69"/>
      <c r="CSV122" s="69"/>
      <c r="CSW122" s="69"/>
      <c r="CSX122" s="69"/>
      <c r="CSY122" s="69"/>
      <c r="CSZ122" s="69"/>
      <c r="CTA122" s="69"/>
      <c r="CTB122" s="69"/>
      <c r="CTC122" s="69"/>
      <c r="CTD122" s="69"/>
      <c r="CTE122" s="69"/>
      <c r="CTF122" s="69"/>
      <c r="CTG122" s="69"/>
      <c r="CTH122" s="69"/>
      <c r="CTI122" s="69"/>
      <c r="CTJ122" s="69"/>
      <c r="CTK122" s="69"/>
      <c r="CTL122" s="69"/>
      <c r="CTM122" s="69"/>
      <c r="CTN122" s="69"/>
      <c r="CTO122" s="69"/>
      <c r="CTP122" s="69"/>
      <c r="CTQ122" s="69"/>
      <c r="CTR122" s="69"/>
      <c r="CTS122" s="69"/>
      <c r="CTT122" s="69"/>
      <c r="CTU122" s="69"/>
      <c r="CTV122" s="69"/>
      <c r="CTW122" s="69"/>
      <c r="CTX122" s="69"/>
      <c r="CTY122" s="69"/>
      <c r="CTZ122" s="69"/>
      <c r="CUA122" s="69"/>
      <c r="CUB122" s="69"/>
      <c r="CUC122" s="69"/>
      <c r="CUD122" s="69"/>
      <c r="CUE122" s="69"/>
      <c r="CUF122" s="69"/>
      <c r="CUG122" s="69"/>
      <c r="CUH122" s="69"/>
      <c r="CUI122" s="69"/>
      <c r="CUJ122" s="69"/>
      <c r="CUK122" s="69"/>
      <c r="CUL122" s="69"/>
      <c r="CUM122" s="69"/>
      <c r="CUN122" s="69"/>
      <c r="CUO122" s="69"/>
      <c r="CUP122" s="69"/>
      <c r="CUQ122" s="69"/>
      <c r="CUR122" s="69"/>
      <c r="CUS122" s="69"/>
      <c r="CUT122" s="69"/>
      <c r="CUU122" s="69"/>
      <c r="CUV122" s="69"/>
      <c r="CUW122" s="69"/>
      <c r="CUX122" s="69"/>
      <c r="CUY122" s="69"/>
      <c r="CUZ122" s="69"/>
      <c r="CVA122" s="69"/>
      <c r="CVB122" s="69"/>
      <c r="CVC122" s="69"/>
      <c r="CVD122" s="69"/>
      <c r="CVE122" s="69"/>
      <c r="CVF122" s="69"/>
      <c r="CVG122" s="69"/>
      <c r="CVH122" s="69"/>
      <c r="CVI122" s="69"/>
      <c r="CVJ122" s="69"/>
      <c r="CVK122" s="69"/>
      <c r="CVL122" s="69"/>
      <c r="CVM122" s="69"/>
      <c r="CVN122" s="69"/>
      <c r="CVO122" s="69"/>
      <c r="CVP122" s="69"/>
      <c r="CVQ122" s="69"/>
      <c r="CVR122" s="69"/>
      <c r="CVS122" s="69"/>
      <c r="CVT122" s="69"/>
      <c r="CVU122" s="69"/>
      <c r="CVV122" s="69"/>
      <c r="CVW122" s="69"/>
      <c r="CVX122" s="69"/>
      <c r="CVY122" s="69"/>
      <c r="CVZ122" s="69"/>
      <c r="CWA122" s="69"/>
      <c r="CWB122" s="69"/>
      <c r="CWC122" s="69"/>
      <c r="CWD122" s="69"/>
      <c r="CWE122" s="69"/>
      <c r="CWF122" s="69"/>
      <c r="CWG122" s="69"/>
      <c r="CWH122" s="69"/>
      <c r="CWI122" s="69"/>
      <c r="CWJ122" s="69"/>
      <c r="CWK122" s="69"/>
      <c r="CWL122" s="69"/>
      <c r="CWM122" s="69"/>
      <c r="CWN122" s="69"/>
      <c r="CWO122" s="69"/>
      <c r="CWP122" s="69"/>
      <c r="CWQ122" s="69"/>
      <c r="CWR122" s="69"/>
      <c r="CWS122" s="69"/>
      <c r="CWT122" s="69"/>
      <c r="CWU122" s="69"/>
      <c r="CWV122" s="69"/>
      <c r="CWW122" s="69"/>
      <c r="CWX122" s="69"/>
      <c r="CWY122" s="69"/>
      <c r="CWZ122" s="69"/>
      <c r="CXA122" s="69"/>
      <c r="CXB122" s="69"/>
      <c r="CXC122" s="69"/>
      <c r="CXD122" s="69"/>
      <c r="CXE122" s="69"/>
      <c r="CXF122" s="69"/>
      <c r="CXG122" s="69"/>
      <c r="CXH122" s="69"/>
      <c r="CXI122" s="69"/>
      <c r="CXJ122" s="69"/>
      <c r="CXK122" s="69"/>
      <c r="CXL122" s="69"/>
      <c r="CXM122" s="69"/>
      <c r="CXN122" s="69"/>
      <c r="CXO122" s="69"/>
      <c r="CXP122" s="69"/>
      <c r="CXQ122" s="69"/>
      <c r="CXR122" s="69"/>
      <c r="CXS122" s="69"/>
      <c r="CXT122" s="69"/>
      <c r="CXU122" s="69"/>
      <c r="CXV122" s="69"/>
      <c r="CXW122" s="69"/>
      <c r="CXX122" s="69"/>
      <c r="CXY122" s="69"/>
      <c r="CXZ122" s="69"/>
      <c r="CYA122" s="69"/>
      <c r="CYB122" s="69"/>
      <c r="CYC122" s="69"/>
      <c r="CYD122" s="69"/>
      <c r="CYE122" s="69"/>
      <c r="CYF122" s="69"/>
      <c r="CYG122" s="69"/>
      <c r="CYH122" s="69"/>
      <c r="CYI122" s="69"/>
      <c r="CYJ122" s="69"/>
      <c r="CYK122" s="69"/>
      <c r="CYL122" s="69"/>
      <c r="CYM122" s="69"/>
      <c r="CYN122" s="69"/>
      <c r="CYO122" s="69"/>
      <c r="CYP122" s="69"/>
      <c r="CYQ122" s="69"/>
      <c r="CYR122" s="69"/>
      <c r="CYS122" s="69"/>
      <c r="CYT122" s="69"/>
      <c r="CYU122" s="69"/>
      <c r="CYV122" s="69"/>
      <c r="CYW122" s="69"/>
      <c r="CYX122" s="69"/>
      <c r="CYY122" s="69"/>
      <c r="CYZ122" s="69"/>
      <c r="CZA122" s="69"/>
      <c r="CZB122" s="69"/>
      <c r="CZC122" s="69"/>
      <c r="CZD122" s="69"/>
      <c r="CZE122" s="69"/>
      <c r="CZF122" s="69"/>
      <c r="CZG122" s="69"/>
      <c r="CZH122" s="69"/>
      <c r="CZI122" s="69"/>
      <c r="CZJ122" s="69"/>
      <c r="CZK122" s="69"/>
      <c r="CZL122" s="69"/>
      <c r="CZM122" s="69"/>
      <c r="CZN122" s="69"/>
      <c r="CZO122" s="69"/>
      <c r="CZP122" s="69"/>
      <c r="CZQ122" s="69"/>
      <c r="CZR122" s="69"/>
      <c r="CZS122" s="69"/>
      <c r="CZT122" s="69"/>
      <c r="CZU122" s="69"/>
      <c r="CZV122" s="69"/>
      <c r="CZW122" s="69"/>
      <c r="CZX122" s="69"/>
      <c r="CZY122" s="69"/>
      <c r="CZZ122" s="69"/>
      <c r="DAA122" s="69"/>
      <c r="DAB122" s="69"/>
      <c r="DAC122" s="69"/>
      <c r="DAD122" s="69"/>
      <c r="DAE122" s="69"/>
      <c r="DAF122" s="69"/>
      <c r="DAG122" s="69"/>
      <c r="DAH122" s="69"/>
      <c r="DAI122" s="69"/>
      <c r="DAJ122" s="69"/>
      <c r="DAK122" s="69"/>
      <c r="DAL122" s="69"/>
      <c r="DAM122" s="69"/>
      <c r="DAN122" s="69"/>
      <c r="DAO122" s="69"/>
      <c r="DAP122" s="69"/>
      <c r="DAQ122" s="69"/>
      <c r="DAR122" s="69"/>
      <c r="DAS122" s="69"/>
      <c r="DAT122" s="69"/>
      <c r="DAU122" s="69"/>
      <c r="DAV122" s="69"/>
      <c r="DAW122" s="69"/>
      <c r="DAX122" s="69"/>
      <c r="DAY122" s="69"/>
      <c r="DAZ122" s="69"/>
      <c r="DBA122" s="69"/>
      <c r="DBB122" s="69"/>
      <c r="DBC122" s="69"/>
      <c r="DBD122" s="69"/>
      <c r="DBE122" s="69"/>
      <c r="DBF122" s="69"/>
      <c r="DBG122" s="69"/>
      <c r="DBH122" s="69"/>
      <c r="DBI122" s="69"/>
      <c r="DBJ122" s="69"/>
      <c r="DBK122" s="69"/>
      <c r="DBL122" s="69"/>
      <c r="DBM122" s="69"/>
      <c r="DBN122" s="69"/>
      <c r="DBO122" s="69"/>
      <c r="DBP122" s="69"/>
      <c r="DBQ122" s="69"/>
      <c r="DBR122" s="69"/>
      <c r="DBS122" s="69"/>
      <c r="DBT122" s="69"/>
      <c r="DBU122" s="69"/>
      <c r="DBV122" s="69"/>
      <c r="DBW122" s="69"/>
      <c r="DBX122" s="69"/>
      <c r="DBY122" s="69"/>
      <c r="DBZ122" s="69"/>
      <c r="DCA122" s="69"/>
      <c r="DCB122" s="69"/>
      <c r="DCC122" s="69"/>
      <c r="DCD122" s="69"/>
      <c r="DCE122" s="69"/>
      <c r="DCF122" s="69"/>
      <c r="DCG122" s="69"/>
      <c r="DCH122" s="69"/>
      <c r="DCI122" s="69"/>
      <c r="DCJ122" s="69"/>
      <c r="DCK122" s="69"/>
      <c r="DCL122" s="69"/>
      <c r="DCM122" s="69"/>
      <c r="DCN122" s="69"/>
      <c r="DCO122" s="69"/>
      <c r="DCP122" s="69"/>
      <c r="DCQ122" s="69"/>
      <c r="DCR122" s="69"/>
      <c r="DCS122" s="69"/>
      <c r="DCT122" s="69"/>
      <c r="DCU122" s="69"/>
      <c r="DCV122" s="69"/>
      <c r="DCW122" s="69"/>
      <c r="DCX122" s="69"/>
      <c r="DCY122" s="69"/>
      <c r="DCZ122" s="69"/>
      <c r="DDA122" s="69"/>
      <c r="DDB122" s="69"/>
      <c r="DDC122" s="69"/>
      <c r="DDD122" s="69"/>
      <c r="DDE122" s="69"/>
      <c r="DDF122" s="69"/>
      <c r="DDG122" s="69"/>
      <c r="DDH122" s="69"/>
      <c r="DDI122" s="69"/>
      <c r="DDJ122" s="69"/>
      <c r="DDK122" s="69"/>
      <c r="DDL122" s="69"/>
      <c r="DDM122" s="69"/>
      <c r="DDN122" s="69"/>
      <c r="DDO122" s="69"/>
      <c r="DDP122" s="69"/>
      <c r="DDQ122" s="69"/>
      <c r="DDR122" s="69"/>
      <c r="DDS122" s="69"/>
      <c r="DDT122" s="69"/>
      <c r="DDU122" s="69"/>
      <c r="DDV122" s="69"/>
      <c r="DDW122" s="69"/>
      <c r="DDX122" s="69"/>
      <c r="DDY122" s="69"/>
      <c r="DDZ122" s="69"/>
      <c r="DEA122" s="69"/>
      <c r="DEB122" s="69"/>
      <c r="DEC122" s="69"/>
      <c r="DED122" s="69"/>
      <c r="DEE122" s="69"/>
      <c r="DEF122" s="69"/>
      <c r="DEG122" s="69"/>
      <c r="DEH122" s="69"/>
      <c r="DEI122" s="69"/>
      <c r="DEJ122" s="69"/>
      <c r="DEK122" s="69"/>
      <c r="DEL122" s="69"/>
      <c r="DEM122" s="69"/>
      <c r="DEN122" s="69"/>
      <c r="DEO122" s="69"/>
      <c r="DEP122" s="69"/>
      <c r="DEQ122" s="69"/>
      <c r="DER122" s="69"/>
      <c r="DES122" s="69"/>
      <c r="DET122" s="69"/>
      <c r="DEU122" s="69"/>
      <c r="DEV122" s="69"/>
      <c r="DEW122" s="69"/>
      <c r="DEX122" s="69"/>
      <c r="DEY122" s="69"/>
      <c r="DEZ122" s="69"/>
      <c r="DFA122" s="69"/>
      <c r="DFB122" s="69"/>
      <c r="DFC122" s="69"/>
      <c r="DFD122" s="69"/>
      <c r="DFE122" s="69"/>
      <c r="DFF122" s="69"/>
      <c r="DFG122" s="69"/>
      <c r="DFH122" s="69"/>
      <c r="DFI122" s="69"/>
      <c r="DFJ122" s="69"/>
      <c r="DFK122" s="69"/>
      <c r="DFL122" s="69"/>
      <c r="DFM122" s="69"/>
      <c r="DFN122" s="69"/>
      <c r="DFO122" s="69"/>
      <c r="DFP122" s="69"/>
      <c r="DFQ122" s="69"/>
      <c r="DFR122" s="69"/>
      <c r="DFS122" s="69"/>
      <c r="DFT122" s="69"/>
      <c r="DFU122" s="69"/>
      <c r="DFV122" s="69"/>
      <c r="DFW122" s="69"/>
      <c r="DFX122" s="69"/>
      <c r="DFY122" s="69"/>
      <c r="DFZ122" s="69"/>
      <c r="DGA122" s="69"/>
      <c r="DGB122" s="69"/>
      <c r="DGC122" s="69"/>
      <c r="DGD122" s="69"/>
      <c r="DGE122" s="69"/>
      <c r="DGF122" s="69"/>
      <c r="DGG122" s="69"/>
      <c r="DGH122" s="69"/>
      <c r="DGI122" s="69"/>
      <c r="DGJ122" s="69"/>
      <c r="DGK122" s="69"/>
      <c r="DGL122" s="69"/>
      <c r="DGM122" s="69"/>
      <c r="DGN122" s="69"/>
      <c r="DGO122" s="69"/>
      <c r="DGP122" s="69"/>
      <c r="DGQ122" s="69"/>
      <c r="DGR122" s="69"/>
      <c r="DGS122" s="69"/>
      <c r="DGT122" s="69"/>
      <c r="DGU122" s="69"/>
      <c r="DGV122" s="69"/>
      <c r="DGW122" s="69"/>
      <c r="DGX122" s="69"/>
      <c r="DGY122" s="69"/>
      <c r="DGZ122" s="69"/>
      <c r="DHA122" s="69"/>
      <c r="DHB122" s="69"/>
      <c r="DHC122" s="69"/>
      <c r="DHD122" s="69"/>
      <c r="DHE122" s="69"/>
      <c r="DHF122" s="69"/>
      <c r="DHG122" s="69"/>
      <c r="DHH122" s="69"/>
      <c r="DHI122" s="69"/>
      <c r="DHJ122" s="69"/>
      <c r="DHK122" s="69"/>
      <c r="DHL122" s="69"/>
      <c r="DHM122" s="69"/>
      <c r="DHN122" s="69"/>
      <c r="DHO122" s="69"/>
      <c r="DHP122" s="69"/>
      <c r="DHQ122" s="69"/>
      <c r="DHR122" s="69"/>
      <c r="DHS122" s="69"/>
      <c r="DHT122" s="69"/>
      <c r="DHU122" s="69"/>
      <c r="DHV122" s="69"/>
      <c r="DHW122" s="69"/>
      <c r="DHX122" s="69"/>
      <c r="DHY122" s="69"/>
      <c r="DHZ122" s="69"/>
      <c r="DIA122" s="69"/>
      <c r="DIB122" s="69"/>
      <c r="DIC122" s="69"/>
      <c r="DID122" s="69"/>
      <c r="DIE122" s="69"/>
      <c r="DIF122" s="69"/>
      <c r="DIG122" s="69"/>
      <c r="DIH122" s="69"/>
      <c r="DII122" s="69"/>
      <c r="DIJ122" s="69"/>
      <c r="DIK122" s="69"/>
      <c r="DIL122" s="69"/>
      <c r="DIM122" s="69"/>
      <c r="DIN122" s="69"/>
      <c r="DIO122" s="69"/>
      <c r="DIP122" s="69"/>
      <c r="DIQ122" s="69"/>
      <c r="DIR122" s="69"/>
      <c r="DIS122" s="69"/>
      <c r="DIT122" s="69"/>
      <c r="DIU122" s="69"/>
      <c r="DIV122" s="69"/>
      <c r="DIW122" s="69"/>
      <c r="DIX122" s="69"/>
      <c r="DIY122" s="69"/>
      <c r="DIZ122" s="69"/>
      <c r="DJA122" s="69"/>
      <c r="DJB122" s="69"/>
      <c r="DJC122" s="69"/>
      <c r="DJD122" s="69"/>
      <c r="DJE122" s="69"/>
      <c r="DJF122" s="69"/>
      <c r="DJG122" s="69"/>
      <c r="DJH122" s="69"/>
      <c r="DJI122" s="69"/>
      <c r="DJJ122" s="69"/>
      <c r="DJK122" s="69"/>
      <c r="DJL122" s="69"/>
      <c r="DJM122" s="69"/>
      <c r="DJN122" s="69"/>
      <c r="DJO122" s="69"/>
      <c r="DJP122" s="69"/>
      <c r="DJQ122" s="69"/>
      <c r="DJR122" s="69"/>
      <c r="DJS122" s="69"/>
      <c r="DJT122" s="69"/>
      <c r="DJU122" s="69"/>
      <c r="DJV122" s="69"/>
      <c r="DJW122" s="69"/>
      <c r="DJX122" s="69"/>
      <c r="DJY122" s="69"/>
      <c r="DJZ122" s="69"/>
      <c r="DKA122" s="69"/>
      <c r="DKB122" s="69"/>
      <c r="DKC122" s="69"/>
      <c r="DKD122" s="69"/>
      <c r="DKE122" s="69"/>
      <c r="DKF122" s="69"/>
      <c r="DKG122" s="69"/>
      <c r="DKH122" s="69"/>
      <c r="DKI122" s="69"/>
      <c r="DKJ122" s="69"/>
      <c r="DKK122" s="69"/>
      <c r="DKL122" s="69"/>
      <c r="DKM122" s="69"/>
      <c r="DKN122" s="69"/>
      <c r="DKO122" s="69"/>
      <c r="DKP122" s="69"/>
      <c r="DKQ122" s="69"/>
      <c r="DKR122" s="69"/>
      <c r="DKS122" s="69"/>
      <c r="DKT122" s="69"/>
      <c r="DKU122" s="69"/>
      <c r="DKV122" s="69"/>
      <c r="DKW122" s="69"/>
      <c r="DKX122" s="69"/>
      <c r="DKY122" s="69"/>
      <c r="DKZ122" s="69"/>
      <c r="DLA122" s="69"/>
      <c r="DLB122" s="69"/>
      <c r="DLC122" s="69"/>
      <c r="DLD122" s="69"/>
      <c r="DLE122" s="69"/>
      <c r="DLF122" s="69"/>
      <c r="DLG122" s="69"/>
      <c r="DLH122" s="69"/>
      <c r="DLI122" s="69"/>
      <c r="DLJ122" s="69"/>
      <c r="DLK122" s="69"/>
      <c r="DLL122" s="69"/>
      <c r="DLM122" s="69"/>
      <c r="DLN122" s="69"/>
      <c r="DLO122" s="69"/>
      <c r="DLP122" s="69"/>
      <c r="DLQ122" s="69"/>
      <c r="DLR122" s="69"/>
      <c r="DLS122" s="69"/>
      <c r="DLT122" s="69"/>
      <c r="DLU122" s="69"/>
      <c r="DLV122" s="69"/>
      <c r="DLW122" s="69"/>
      <c r="DLX122" s="69"/>
      <c r="DLY122" s="69"/>
      <c r="DLZ122" s="69"/>
      <c r="DMA122" s="69"/>
      <c r="DMB122" s="69"/>
      <c r="DMC122" s="69"/>
      <c r="DMD122" s="69"/>
      <c r="DME122" s="69"/>
      <c r="DMF122" s="69"/>
      <c r="DMG122" s="69"/>
      <c r="DMH122" s="69"/>
      <c r="DMI122" s="69"/>
      <c r="DMJ122" s="69"/>
      <c r="DMK122" s="69"/>
      <c r="DML122" s="69"/>
      <c r="DMM122" s="69"/>
      <c r="DMN122" s="69"/>
      <c r="DMO122" s="69"/>
      <c r="DMP122" s="69"/>
      <c r="DMQ122" s="69"/>
      <c r="DMR122" s="69"/>
      <c r="DMS122" s="69"/>
      <c r="DMT122" s="69"/>
      <c r="DMU122" s="69"/>
      <c r="DMV122" s="69"/>
      <c r="DMW122" s="69"/>
      <c r="DMX122" s="69"/>
      <c r="DMY122" s="69"/>
      <c r="DMZ122" s="69"/>
      <c r="DNA122" s="69"/>
      <c r="DNB122" s="69"/>
      <c r="DNC122" s="69"/>
      <c r="DND122" s="69"/>
      <c r="DNE122" s="69"/>
      <c r="DNF122" s="69"/>
      <c r="DNG122" s="69"/>
      <c r="DNH122" s="69"/>
      <c r="DNI122" s="69"/>
      <c r="DNJ122" s="69"/>
      <c r="DNK122" s="69"/>
      <c r="DNL122" s="69"/>
      <c r="DNM122" s="69"/>
      <c r="DNN122" s="69"/>
      <c r="DNO122" s="69"/>
      <c r="DNP122" s="69"/>
      <c r="DNQ122" s="69"/>
      <c r="DNR122" s="69"/>
      <c r="DNS122" s="69"/>
      <c r="DNT122" s="69"/>
      <c r="DNU122" s="69"/>
      <c r="DNV122" s="69"/>
      <c r="DNW122" s="69"/>
      <c r="DNX122" s="69"/>
      <c r="DNY122" s="69"/>
      <c r="DNZ122" s="69"/>
      <c r="DOA122" s="69"/>
      <c r="DOB122" s="69"/>
      <c r="DOC122" s="69"/>
      <c r="DOD122" s="69"/>
      <c r="DOE122" s="69"/>
      <c r="DOF122" s="69"/>
      <c r="DOG122" s="69"/>
      <c r="DOH122" s="69"/>
      <c r="DOI122" s="69"/>
      <c r="DOJ122" s="69"/>
      <c r="DOK122" s="69"/>
      <c r="DOL122" s="69"/>
      <c r="DOM122" s="69"/>
      <c r="DON122" s="69"/>
      <c r="DOO122" s="69"/>
      <c r="DOP122" s="69"/>
      <c r="DOQ122" s="69"/>
      <c r="DOR122" s="69"/>
      <c r="DOS122" s="69"/>
      <c r="DOT122" s="69"/>
      <c r="DOU122" s="69"/>
      <c r="DOV122" s="69"/>
      <c r="DOW122" s="69"/>
      <c r="DOX122" s="69"/>
      <c r="DOY122" s="69"/>
      <c r="DOZ122" s="69"/>
      <c r="DPA122" s="69"/>
      <c r="DPB122" s="69"/>
      <c r="DPC122" s="69"/>
      <c r="DPD122" s="69"/>
      <c r="DPE122" s="69"/>
      <c r="DPF122" s="69"/>
      <c r="DPG122" s="69"/>
      <c r="DPH122" s="69"/>
      <c r="DPI122" s="69"/>
      <c r="DPJ122" s="69"/>
      <c r="DPK122" s="69"/>
      <c r="DPL122" s="69"/>
      <c r="DPM122" s="69"/>
      <c r="DPN122" s="69"/>
      <c r="DPO122" s="69"/>
      <c r="DPP122" s="69"/>
      <c r="DPQ122" s="69"/>
      <c r="DPR122" s="69"/>
      <c r="DPS122" s="69"/>
      <c r="DPT122" s="69"/>
      <c r="DPU122" s="69"/>
      <c r="DPV122" s="69"/>
      <c r="DPW122" s="69"/>
      <c r="DPX122" s="69"/>
      <c r="DPY122" s="69"/>
      <c r="DPZ122" s="69"/>
      <c r="DQA122" s="69"/>
      <c r="DQB122" s="69"/>
      <c r="DQC122" s="69"/>
      <c r="DQD122" s="69"/>
      <c r="DQE122" s="69"/>
      <c r="DQF122" s="69"/>
      <c r="DQG122" s="69"/>
      <c r="DQH122" s="69"/>
      <c r="DQI122" s="69"/>
      <c r="DQJ122" s="69"/>
      <c r="DQK122" s="69"/>
      <c r="DQL122" s="69"/>
      <c r="DQM122" s="69"/>
      <c r="DQN122" s="69"/>
      <c r="DQO122" s="69"/>
      <c r="DQP122" s="69"/>
      <c r="DQQ122" s="69"/>
      <c r="DQR122" s="69"/>
      <c r="DQS122" s="69"/>
      <c r="DQT122" s="69"/>
      <c r="DQU122" s="69"/>
      <c r="DQV122" s="69"/>
      <c r="DQW122" s="69"/>
      <c r="DQX122" s="69"/>
      <c r="DQY122" s="69"/>
      <c r="DQZ122" s="69"/>
      <c r="DRA122" s="69"/>
      <c r="DRB122" s="69"/>
      <c r="DRC122" s="69"/>
      <c r="DRD122" s="69"/>
      <c r="DRE122" s="69"/>
      <c r="DRF122" s="69"/>
      <c r="DRG122" s="69"/>
      <c r="DRH122" s="69"/>
      <c r="DRI122" s="69"/>
      <c r="DRJ122" s="69"/>
      <c r="DRK122" s="69"/>
      <c r="DRL122" s="69"/>
      <c r="DRM122" s="69"/>
      <c r="DRN122" s="69"/>
      <c r="DRO122" s="69"/>
      <c r="DRP122" s="69"/>
      <c r="DRQ122" s="69"/>
      <c r="DRR122" s="69"/>
      <c r="DRS122" s="69"/>
      <c r="DRT122" s="69"/>
      <c r="DRU122" s="69"/>
      <c r="DRV122" s="69"/>
      <c r="DRW122" s="69"/>
      <c r="DRX122" s="69"/>
      <c r="DRY122" s="69"/>
      <c r="DRZ122" s="69"/>
      <c r="DSA122" s="69"/>
      <c r="DSB122" s="69"/>
      <c r="DSC122" s="69"/>
      <c r="DSD122" s="69"/>
      <c r="DSE122" s="69"/>
      <c r="DSF122" s="69"/>
      <c r="DSG122" s="69"/>
      <c r="DSH122" s="69"/>
      <c r="DSI122" s="69"/>
      <c r="DSJ122" s="69"/>
      <c r="DSK122" s="69"/>
      <c r="DSL122" s="69"/>
      <c r="DSM122" s="69"/>
      <c r="DSN122" s="69"/>
      <c r="DSO122" s="69"/>
      <c r="DSP122" s="69"/>
      <c r="DSQ122" s="69"/>
      <c r="DSR122" s="69"/>
      <c r="DSS122" s="69"/>
      <c r="DST122" s="69"/>
      <c r="DSU122" s="69"/>
      <c r="DSV122" s="69"/>
      <c r="DSW122" s="69"/>
      <c r="DSX122" s="69"/>
      <c r="DSY122" s="69"/>
      <c r="DSZ122" s="69"/>
      <c r="DTA122" s="69"/>
      <c r="DTB122" s="69"/>
      <c r="DTC122" s="69"/>
      <c r="DTD122" s="69"/>
      <c r="DTE122" s="69"/>
      <c r="DTF122" s="69"/>
      <c r="DTG122" s="69"/>
      <c r="DTH122" s="69"/>
      <c r="DTI122" s="69"/>
      <c r="DTJ122" s="69"/>
      <c r="DTK122" s="69"/>
      <c r="DTL122" s="69"/>
      <c r="DTM122" s="69"/>
      <c r="DTN122" s="69"/>
      <c r="DTO122" s="69"/>
      <c r="DTP122" s="69"/>
      <c r="DTQ122" s="69"/>
      <c r="DTR122" s="69"/>
      <c r="DTS122" s="69"/>
      <c r="DTT122" s="69"/>
      <c r="DTU122" s="69"/>
      <c r="DTV122" s="69"/>
      <c r="DTW122" s="69"/>
      <c r="DTX122" s="69"/>
      <c r="DTY122" s="69"/>
      <c r="DTZ122" s="69"/>
      <c r="DUA122" s="69"/>
      <c r="DUB122" s="69"/>
      <c r="DUC122" s="69"/>
      <c r="DUD122" s="69"/>
      <c r="DUE122" s="69"/>
      <c r="DUF122" s="69"/>
      <c r="DUG122" s="69"/>
      <c r="DUH122" s="69"/>
      <c r="DUI122" s="69"/>
      <c r="DUJ122" s="69"/>
      <c r="DUK122" s="69"/>
      <c r="DUL122" s="69"/>
      <c r="DUM122" s="69"/>
      <c r="DUN122" s="69"/>
      <c r="DUO122" s="69"/>
      <c r="DUP122" s="69"/>
      <c r="DUQ122" s="69"/>
      <c r="DUR122" s="69"/>
      <c r="DUS122" s="69"/>
      <c r="DUT122" s="69"/>
      <c r="DUU122" s="69"/>
      <c r="DUV122" s="69"/>
      <c r="DUW122" s="69"/>
      <c r="DUX122" s="69"/>
      <c r="DUY122" s="69"/>
      <c r="DUZ122" s="69"/>
      <c r="DVA122" s="69"/>
      <c r="DVB122" s="69"/>
      <c r="DVC122" s="69"/>
      <c r="DVD122" s="69"/>
      <c r="DVE122" s="69"/>
      <c r="DVF122" s="69"/>
      <c r="DVG122" s="69"/>
      <c r="DVH122" s="69"/>
      <c r="DVI122" s="69"/>
      <c r="DVJ122" s="69"/>
      <c r="DVK122" s="69"/>
      <c r="DVL122" s="69"/>
      <c r="DVM122" s="69"/>
      <c r="DVN122" s="69"/>
      <c r="DVO122" s="69"/>
      <c r="DVP122" s="69"/>
      <c r="DVQ122" s="69"/>
      <c r="DVR122" s="69"/>
      <c r="DVS122" s="69"/>
      <c r="DVT122" s="69"/>
      <c r="DVU122" s="69"/>
      <c r="DVV122" s="69"/>
      <c r="DVW122" s="69"/>
      <c r="DVX122" s="69"/>
      <c r="DVY122" s="69"/>
      <c r="DVZ122" s="69"/>
      <c r="DWA122" s="69"/>
      <c r="DWB122" s="69"/>
      <c r="DWC122" s="69"/>
      <c r="DWD122" s="69"/>
      <c r="DWE122" s="69"/>
      <c r="DWF122" s="69"/>
      <c r="DWG122" s="69"/>
      <c r="DWH122" s="69"/>
      <c r="DWI122" s="69"/>
      <c r="DWJ122" s="69"/>
      <c r="DWK122" s="69"/>
      <c r="DWL122" s="69"/>
      <c r="DWM122" s="69"/>
      <c r="DWN122" s="69"/>
      <c r="DWO122" s="69"/>
      <c r="DWP122" s="69"/>
      <c r="DWQ122" s="69"/>
      <c r="DWR122" s="69"/>
      <c r="DWS122" s="69"/>
      <c r="DWT122" s="69"/>
      <c r="DWU122" s="69"/>
      <c r="DWV122" s="69"/>
      <c r="DWW122" s="69"/>
      <c r="DWX122" s="69"/>
      <c r="DWY122" s="69"/>
      <c r="DWZ122" s="69"/>
      <c r="DXA122" s="69"/>
      <c r="DXB122" s="69"/>
      <c r="DXC122" s="69"/>
      <c r="DXD122" s="69"/>
      <c r="DXE122" s="69"/>
      <c r="DXF122" s="69"/>
      <c r="DXG122" s="69"/>
      <c r="DXH122" s="69"/>
      <c r="DXI122" s="69"/>
      <c r="DXJ122" s="69"/>
      <c r="DXK122" s="69"/>
      <c r="DXL122" s="69"/>
      <c r="DXM122" s="69"/>
      <c r="DXN122" s="69"/>
      <c r="DXO122" s="69"/>
      <c r="DXP122" s="69"/>
      <c r="DXQ122" s="69"/>
      <c r="DXR122" s="69"/>
      <c r="DXS122" s="69"/>
      <c r="DXT122" s="69"/>
      <c r="DXU122" s="69"/>
      <c r="DXV122" s="69"/>
      <c r="DXW122" s="69"/>
      <c r="DXX122" s="69"/>
      <c r="DXY122" s="69"/>
      <c r="DXZ122" s="69"/>
      <c r="DYA122" s="69"/>
      <c r="DYB122" s="69"/>
      <c r="DYC122" s="69"/>
      <c r="DYD122" s="69"/>
      <c r="DYE122" s="69"/>
      <c r="DYF122" s="69"/>
      <c r="DYG122" s="69"/>
      <c r="DYH122" s="69"/>
      <c r="DYI122" s="69"/>
      <c r="DYJ122" s="69"/>
      <c r="DYK122" s="69"/>
      <c r="DYL122" s="69"/>
      <c r="DYM122" s="69"/>
      <c r="DYN122" s="69"/>
      <c r="DYO122" s="69"/>
      <c r="DYP122" s="69"/>
      <c r="DYQ122" s="69"/>
      <c r="DYR122" s="69"/>
      <c r="DYS122" s="69"/>
      <c r="DYT122" s="69"/>
      <c r="DYU122" s="69"/>
      <c r="DYV122" s="69"/>
      <c r="DYW122" s="69"/>
      <c r="DYX122" s="69"/>
      <c r="DYY122" s="69"/>
      <c r="DYZ122" s="69"/>
      <c r="DZA122" s="69"/>
      <c r="DZB122" s="69"/>
      <c r="DZC122" s="69"/>
      <c r="DZD122" s="69"/>
      <c r="DZE122" s="69"/>
      <c r="DZF122" s="69"/>
      <c r="DZG122" s="69"/>
      <c r="DZH122" s="69"/>
      <c r="DZI122" s="69"/>
      <c r="DZJ122" s="69"/>
      <c r="DZK122" s="69"/>
      <c r="DZL122" s="69"/>
      <c r="DZM122" s="69"/>
      <c r="DZN122" s="69"/>
      <c r="DZO122" s="69"/>
      <c r="DZP122" s="69"/>
      <c r="DZQ122" s="69"/>
      <c r="DZR122" s="69"/>
      <c r="DZS122" s="69"/>
      <c r="DZT122" s="69"/>
      <c r="DZU122" s="69"/>
      <c r="DZV122" s="69"/>
      <c r="DZW122" s="69"/>
      <c r="DZX122" s="69"/>
      <c r="DZY122" s="69"/>
      <c r="DZZ122" s="69"/>
      <c r="EAA122" s="69"/>
      <c r="EAB122" s="69"/>
      <c r="EAC122" s="69"/>
      <c r="EAD122" s="69"/>
      <c r="EAE122" s="69"/>
      <c r="EAF122" s="69"/>
      <c r="EAG122" s="69"/>
      <c r="EAH122" s="69"/>
      <c r="EAI122" s="69"/>
      <c r="EAJ122" s="69"/>
      <c r="EAK122" s="69"/>
      <c r="EAL122" s="69"/>
      <c r="EAM122" s="69"/>
      <c r="EAN122" s="69"/>
      <c r="EAO122" s="69"/>
      <c r="EAP122" s="69"/>
      <c r="EAQ122" s="69"/>
      <c r="EAR122" s="69"/>
      <c r="EAS122" s="69"/>
      <c r="EAT122" s="69"/>
      <c r="EAU122" s="69"/>
      <c r="EAV122" s="69"/>
      <c r="EAW122" s="69"/>
      <c r="EAX122" s="69"/>
      <c r="EAY122" s="69"/>
      <c r="EAZ122" s="69"/>
      <c r="EBA122" s="69"/>
      <c r="EBB122" s="69"/>
      <c r="EBC122" s="69"/>
      <c r="EBD122" s="69"/>
      <c r="EBE122" s="69"/>
      <c r="EBF122" s="69"/>
      <c r="EBG122" s="69"/>
      <c r="EBH122" s="69"/>
      <c r="EBI122" s="69"/>
      <c r="EBJ122" s="69"/>
      <c r="EBK122" s="69"/>
      <c r="EBL122" s="69"/>
      <c r="EBM122" s="69"/>
      <c r="EBN122" s="69"/>
      <c r="EBO122" s="69"/>
      <c r="EBP122" s="69"/>
      <c r="EBQ122" s="69"/>
      <c r="EBR122" s="69"/>
      <c r="EBS122" s="69"/>
      <c r="EBT122" s="69"/>
      <c r="EBU122" s="69"/>
      <c r="EBV122" s="69"/>
      <c r="EBW122" s="69"/>
      <c r="EBX122" s="69"/>
      <c r="EBY122" s="69"/>
      <c r="EBZ122" s="69"/>
      <c r="ECA122" s="69"/>
      <c r="ECB122" s="69"/>
      <c r="ECC122" s="69"/>
      <c r="ECD122" s="69"/>
      <c r="ECE122" s="69"/>
      <c r="ECF122" s="69"/>
      <c r="ECG122" s="69"/>
      <c r="ECH122" s="69"/>
      <c r="ECI122" s="69"/>
      <c r="ECJ122" s="69"/>
      <c r="ECK122" s="69"/>
      <c r="ECL122" s="69"/>
      <c r="ECM122" s="69"/>
      <c r="ECN122" s="69"/>
      <c r="ECO122" s="69"/>
      <c r="ECP122" s="69"/>
      <c r="ECQ122" s="69"/>
      <c r="ECR122" s="69"/>
      <c r="ECS122" s="69"/>
      <c r="ECT122" s="69"/>
      <c r="ECU122" s="69"/>
      <c r="ECV122" s="69"/>
      <c r="ECW122" s="69"/>
      <c r="ECX122" s="69"/>
      <c r="ECY122" s="69"/>
      <c r="ECZ122" s="69"/>
      <c r="EDA122" s="69"/>
      <c r="EDB122" s="69"/>
      <c r="EDC122" s="69"/>
      <c r="EDD122" s="69"/>
      <c r="EDE122" s="69"/>
      <c r="EDF122" s="69"/>
      <c r="EDG122" s="69"/>
      <c r="EDH122" s="69"/>
      <c r="EDI122" s="69"/>
      <c r="EDJ122" s="69"/>
      <c r="EDK122" s="69"/>
      <c r="EDL122" s="69"/>
      <c r="EDM122" s="69"/>
      <c r="EDN122" s="69"/>
      <c r="EDO122" s="69"/>
      <c r="EDP122" s="69"/>
      <c r="EDQ122" s="69"/>
      <c r="EDR122" s="69"/>
      <c r="EDS122" s="69"/>
      <c r="EDT122" s="69"/>
      <c r="EDU122" s="69"/>
      <c r="EDV122" s="69"/>
      <c r="EDW122" s="69"/>
      <c r="EDX122" s="69"/>
      <c r="EDY122" s="69"/>
      <c r="EDZ122" s="69"/>
      <c r="EEA122" s="69"/>
      <c r="EEB122" s="69"/>
      <c r="EEC122" s="69"/>
      <c r="EED122" s="69"/>
      <c r="EEE122" s="69"/>
      <c r="EEF122" s="69"/>
      <c r="EEG122" s="69"/>
      <c r="EEH122" s="69"/>
      <c r="EEI122" s="69"/>
      <c r="EEJ122" s="69"/>
      <c r="EEK122" s="69"/>
      <c r="EEL122" s="69"/>
      <c r="EEM122" s="69"/>
      <c r="EEN122" s="69"/>
      <c r="EEO122" s="69"/>
      <c r="EEP122" s="69"/>
      <c r="EEQ122" s="69"/>
      <c r="EER122" s="69"/>
      <c r="EES122" s="69"/>
      <c r="EET122" s="69"/>
      <c r="EEU122" s="69"/>
      <c r="EEV122" s="69"/>
      <c r="EEW122" s="69"/>
      <c r="EEX122" s="69"/>
      <c r="EEY122" s="69"/>
      <c r="EEZ122" s="69"/>
      <c r="EFA122" s="69"/>
      <c r="EFB122" s="69"/>
      <c r="EFC122" s="69"/>
      <c r="EFD122" s="69"/>
      <c r="EFE122" s="69"/>
      <c r="EFF122" s="69"/>
      <c r="EFG122" s="69"/>
      <c r="EFH122" s="69"/>
      <c r="EFI122" s="69"/>
      <c r="EFJ122" s="69"/>
      <c r="EFK122" s="69"/>
      <c r="EFL122" s="69"/>
      <c r="EFM122" s="69"/>
      <c r="EFN122" s="69"/>
      <c r="EFO122" s="69"/>
      <c r="EFP122" s="69"/>
      <c r="EFQ122" s="69"/>
      <c r="EFR122" s="69"/>
      <c r="EFS122" s="69"/>
      <c r="EFT122" s="69"/>
      <c r="EFU122" s="69"/>
      <c r="EFV122" s="69"/>
      <c r="EFW122" s="69"/>
      <c r="EFX122" s="69"/>
      <c r="EFY122" s="69"/>
      <c r="EFZ122" s="69"/>
      <c r="EGA122" s="69"/>
      <c r="EGB122" s="69"/>
      <c r="EGC122" s="69"/>
      <c r="EGD122" s="69"/>
      <c r="EGE122" s="69"/>
      <c r="EGF122" s="69"/>
      <c r="EGG122" s="69"/>
      <c r="EGH122" s="69"/>
      <c r="EGI122" s="69"/>
      <c r="EGJ122" s="69"/>
      <c r="EGK122" s="69"/>
      <c r="EGL122" s="69"/>
      <c r="EGM122" s="69"/>
      <c r="EGN122" s="69"/>
      <c r="EGO122" s="69"/>
      <c r="EGP122" s="69"/>
      <c r="EGQ122" s="69"/>
      <c r="EGR122" s="69"/>
      <c r="EGS122" s="69"/>
      <c r="EGT122" s="69"/>
      <c r="EGU122" s="69"/>
      <c r="EGV122" s="69"/>
      <c r="EGW122" s="69"/>
      <c r="EGX122" s="69"/>
      <c r="EGY122" s="69"/>
      <c r="EGZ122" s="69"/>
      <c r="EHA122" s="69"/>
      <c r="EHB122" s="69"/>
      <c r="EHC122" s="69"/>
      <c r="EHD122" s="69"/>
      <c r="EHE122" s="69"/>
      <c r="EHF122" s="69"/>
      <c r="EHG122" s="69"/>
      <c r="EHH122" s="69"/>
      <c r="EHI122" s="69"/>
      <c r="EHJ122" s="69"/>
      <c r="EHK122" s="69"/>
      <c r="EHL122" s="69"/>
      <c r="EHM122" s="69"/>
      <c r="EHN122" s="69"/>
      <c r="EHO122" s="69"/>
      <c r="EHP122" s="69"/>
      <c r="EHQ122" s="69"/>
      <c r="EHR122" s="69"/>
      <c r="EHS122" s="69"/>
      <c r="EHT122" s="69"/>
      <c r="EHU122" s="69"/>
      <c r="EHV122" s="69"/>
      <c r="EHW122" s="69"/>
      <c r="EHX122" s="69"/>
      <c r="EHY122" s="69"/>
      <c r="EHZ122" s="69"/>
      <c r="EIA122" s="69"/>
      <c r="EIB122" s="69"/>
      <c r="EIC122" s="69"/>
      <c r="EID122" s="69"/>
      <c r="EIE122" s="69"/>
      <c r="EIF122" s="69"/>
      <c r="EIG122" s="69"/>
      <c r="EIH122" s="69"/>
      <c r="EII122" s="69"/>
      <c r="EIJ122" s="69"/>
      <c r="EIK122" s="69"/>
      <c r="EIL122" s="69"/>
      <c r="EIM122" s="69"/>
      <c r="EIN122" s="69"/>
      <c r="EIO122" s="69"/>
      <c r="EIP122" s="69"/>
      <c r="EIQ122" s="69"/>
      <c r="EIR122" s="69"/>
      <c r="EIS122" s="69"/>
      <c r="EIT122" s="69"/>
      <c r="EIU122" s="69"/>
      <c r="EIV122" s="69"/>
      <c r="EIW122" s="69"/>
      <c r="EIX122" s="69"/>
      <c r="EIY122" s="69"/>
      <c r="EIZ122" s="69"/>
      <c r="EJA122" s="69"/>
      <c r="EJB122" s="69"/>
      <c r="EJC122" s="69"/>
      <c r="EJD122" s="69"/>
      <c r="EJE122" s="69"/>
      <c r="EJF122" s="69"/>
      <c r="EJG122" s="69"/>
      <c r="EJH122" s="69"/>
      <c r="EJI122" s="69"/>
      <c r="EJJ122" s="69"/>
      <c r="EJK122" s="69"/>
      <c r="EJL122" s="69"/>
      <c r="EJM122" s="69"/>
      <c r="EJN122" s="69"/>
      <c r="EJO122" s="69"/>
      <c r="EJP122" s="69"/>
      <c r="EJQ122" s="69"/>
      <c r="EJR122" s="69"/>
      <c r="EJS122" s="69"/>
      <c r="EJT122" s="69"/>
      <c r="EJU122" s="69"/>
      <c r="EJV122" s="69"/>
      <c r="EJW122" s="69"/>
      <c r="EJX122" s="69"/>
      <c r="EJY122" s="69"/>
      <c r="EJZ122" s="69"/>
      <c r="EKA122" s="69"/>
      <c r="EKB122" s="69"/>
      <c r="EKC122" s="69"/>
      <c r="EKD122" s="69"/>
      <c r="EKE122" s="69"/>
      <c r="EKF122" s="69"/>
      <c r="EKG122" s="69"/>
      <c r="EKH122" s="69"/>
      <c r="EKI122" s="69"/>
      <c r="EKJ122" s="69"/>
      <c r="EKK122" s="69"/>
      <c r="EKL122" s="69"/>
      <c r="EKM122" s="69"/>
      <c r="EKN122" s="69"/>
      <c r="EKO122" s="69"/>
      <c r="EKP122" s="69"/>
      <c r="EKQ122" s="69"/>
      <c r="EKR122" s="69"/>
      <c r="EKS122" s="69"/>
      <c r="EKT122" s="69"/>
      <c r="EKU122" s="69"/>
      <c r="EKV122" s="69"/>
      <c r="EKW122" s="69"/>
      <c r="EKX122" s="69"/>
      <c r="EKY122" s="69"/>
      <c r="EKZ122" s="69"/>
      <c r="ELA122" s="69"/>
      <c r="ELB122" s="69"/>
      <c r="ELC122" s="69"/>
      <c r="ELD122" s="69"/>
      <c r="ELE122" s="69"/>
      <c r="ELF122" s="69"/>
      <c r="ELG122" s="69"/>
      <c r="ELH122" s="69"/>
      <c r="ELI122" s="69"/>
      <c r="ELJ122" s="69"/>
      <c r="ELK122" s="69"/>
      <c r="ELL122" s="69"/>
      <c r="ELM122" s="69"/>
      <c r="ELN122" s="69"/>
      <c r="ELO122" s="69"/>
      <c r="ELP122" s="69"/>
      <c r="ELQ122" s="69"/>
      <c r="ELR122" s="69"/>
      <c r="ELS122" s="69"/>
      <c r="ELT122" s="69"/>
      <c r="ELU122" s="69"/>
      <c r="ELV122" s="69"/>
      <c r="ELW122" s="69"/>
      <c r="ELX122" s="69"/>
      <c r="ELY122" s="69"/>
      <c r="ELZ122" s="69"/>
      <c r="EMA122" s="69"/>
      <c r="EMB122" s="69"/>
      <c r="EMC122" s="69"/>
      <c r="EMD122" s="69"/>
      <c r="EME122" s="69"/>
      <c r="EMF122" s="69"/>
      <c r="EMG122" s="69"/>
      <c r="EMH122" s="69"/>
      <c r="EMI122" s="69"/>
      <c r="EMJ122" s="69"/>
      <c r="EMK122" s="69"/>
      <c r="EML122" s="69"/>
      <c r="EMM122" s="69"/>
      <c r="EMN122" s="69"/>
      <c r="EMO122" s="69"/>
      <c r="EMP122" s="69"/>
      <c r="EMQ122" s="69"/>
      <c r="EMR122" s="69"/>
      <c r="EMS122" s="69"/>
      <c r="EMT122" s="69"/>
      <c r="EMU122" s="69"/>
      <c r="EMV122" s="69"/>
      <c r="EMW122" s="69"/>
      <c r="EMX122" s="69"/>
      <c r="EMY122" s="69"/>
      <c r="EMZ122" s="69"/>
      <c r="ENA122" s="69"/>
      <c r="ENB122" s="69"/>
      <c r="ENC122" s="69"/>
      <c r="END122" s="69"/>
      <c r="ENE122" s="69"/>
      <c r="ENF122" s="69"/>
      <c r="ENG122" s="69"/>
      <c r="ENH122" s="69"/>
      <c r="ENI122" s="69"/>
      <c r="ENJ122" s="69"/>
      <c r="ENK122" s="69"/>
      <c r="ENL122" s="69"/>
      <c r="ENM122" s="69"/>
      <c r="ENN122" s="69"/>
      <c r="ENO122" s="69"/>
      <c r="ENP122" s="69"/>
      <c r="ENQ122" s="69"/>
      <c r="ENR122" s="69"/>
      <c r="ENS122" s="69"/>
      <c r="ENT122" s="69"/>
      <c r="ENU122" s="69"/>
      <c r="ENV122" s="69"/>
      <c r="ENW122" s="69"/>
      <c r="ENX122" s="69"/>
      <c r="ENY122" s="69"/>
      <c r="ENZ122" s="69"/>
      <c r="EOA122" s="69"/>
      <c r="EOB122" s="69"/>
      <c r="EOC122" s="69"/>
      <c r="EOD122" s="69"/>
      <c r="EOE122" s="69"/>
      <c r="EOF122" s="69"/>
      <c r="EOG122" s="69"/>
      <c r="EOH122" s="69"/>
      <c r="EOI122" s="69"/>
      <c r="EOJ122" s="69"/>
      <c r="EOK122" s="69"/>
      <c r="EOL122" s="69"/>
      <c r="EOM122" s="69"/>
      <c r="EON122" s="69"/>
      <c r="EOO122" s="69"/>
      <c r="EOP122" s="69"/>
      <c r="EOQ122" s="69"/>
      <c r="EOR122" s="69"/>
      <c r="EOS122" s="69"/>
      <c r="EOT122" s="69"/>
      <c r="EOU122" s="69"/>
      <c r="EOV122" s="69"/>
      <c r="EOW122" s="69"/>
      <c r="EOX122" s="69"/>
      <c r="EOY122" s="69"/>
      <c r="EOZ122" s="69"/>
      <c r="EPA122" s="69"/>
      <c r="EPB122" s="69"/>
      <c r="EPC122" s="69"/>
      <c r="EPD122" s="69"/>
      <c r="EPE122" s="69"/>
      <c r="EPF122" s="69"/>
      <c r="EPG122" s="69"/>
      <c r="EPH122" s="69"/>
      <c r="EPI122" s="69"/>
      <c r="EPJ122" s="69"/>
      <c r="EPK122" s="69"/>
      <c r="EPL122" s="69"/>
      <c r="EPM122" s="69"/>
      <c r="EPN122" s="69"/>
      <c r="EPO122" s="69"/>
      <c r="EPP122" s="69"/>
      <c r="EPQ122" s="69"/>
      <c r="EPR122" s="69"/>
      <c r="EPS122" s="69"/>
      <c r="EPT122" s="69"/>
      <c r="EPU122" s="69"/>
      <c r="EPV122" s="69"/>
      <c r="EPW122" s="69"/>
      <c r="EPX122" s="69"/>
      <c r="EPY122" s="69"/>
      <c r="EPZ122" s="69"/>
      <c r="EQA122" s="69"/>
      <c r="EQB122" s="69"/>
      <c r="EQC122" s="69"/>
      <c r="EQD122" s="69"/>
      <c r="EQE122" s="69"/>
      <c r="EQF122" s="69"/>
      <c r="EQG122" s="69"/>
      <c r="EQH122" s="69"/>
      <c r="EQI122" s="69"/>
      <c r="EQJ122" s="69"/>
      <c r="EQK122" s="69"/>
      <c r="EQL122" s="69"/>
      <c r="EQM122" s="69"/>
      <c r="EQN122" s="69"/>
      <c r="EQO122" s="69"/>
      <c r="EQP122" s="69"/>
      <c r="EQQ122" s="69"/>
      <c r="EQR122" s="69"/>
      <c r="EQS122" s="69"/>
      <c r="EQT122" s="69"/>
      <c r="EQU122" s="69"/>
      <c r="EQV122" s="69"/>
      <c r="EQW122" s="69"/>
      <c r="EQX122" s="69"/>
      <c r="EQY122" s="69"/>
      <c r="EQZ122" s="69"/>
      <c r="ERA122" s="69"/>
      <c r="ERB122" s="69"/>
      <c r="ERC122" s="69"/>
      <c r="ERD122" s="69"/>
      <c r="ERE122" s="69"/>
      <c r="ERF122" s="69"/>
      <c r="ERG122" s="69"/>
      <c r="ERH122" s="69"/>
      <c r="ERI122" s="69"/>
      <c r="ERJ122" s="69"/>
      <c r="ERK122" s="69"/>
      <c r="ERL122" s="69"/>
      <c r="ERM122" s="69"/>
      <c r="ERN122" s="69"/>
      <c r="ERO122" s="69"/>
      <c r="ERP122" s="69"/>
      <c r="ERQ122" s="69"/>
      <c r="ERR122" s="69"/>
      <c r="ERS122" s="69"/>
      <c r="ERT122" s="69"/>
      <c r="ERU122" s="69"/>
      <c r="ERV122" s="69"/>
      <c r="ERW122" s="69"/>
      <c r="ERX122" s="69"/>
      <c r="ERY122" s="69"/>
      <c r="ERZ122" s="69"/>
      <c r="ESA122" s="69"/>
      <c r="ESB122" s="69"/>
      <c r="ESC122" s="69"/>
      <c r="ESD122" s="69"/>
      <c r="ESE122" s="69"/>
      <c r="ESF122" s="69"/>
      <c r="ESG122" s="69"/>
      <c r="ESH122" s="69"/>
      <c r="ESI122" s="69"/>
      <c r="ESJ122" s="69"/>
      <c r="ESK122" s="69"/>
      <c r="ESL122" s="69"/>
      <c r="ESM122" s="69"/>
      <c r="ESN122" s="69"/>
      <c r="ESO122" s="69"/>
      <c r="ESP122" s="69"/>
      <c r="ESQ122" s="69"/>
      <c r="ESR122" s="69"/>
      <c r="ESS122" s="69"/>
      <c r="EST122" s="69"/>
      <c r="ESU122" s="69"/>
      <c r="ESV122" s="69"/>
      <c r="ESW122" s="69"/>
      <c r="ESX122" s="69"/>
      <c r="ESY122" s="69"/>
      <c r="ESZ122" s="69"/>
      <c r="ETA122" s="69"/>
      <c r="ETB122" s="69"/>
      <c r="ETC122" s="69"/>
      <c r="ETD122" s="69"/>
      <c r="ETE122" s="69"/>
      <c r="ETF122" s="69"/>
      <c r="ETG122" s="69"/>
      <c r="ETH122" s="69"/>
      <c r="ETI122" s="69"/>
      <c r="ETJ122" s="69"/>
      <c r="ETK122" s="69"/>
      <c r="ETL122" s="69"/>
      <c r="ETM122" s="69"/>
      <c r="ETN122" s="69"/>
      <c r="ETO122" s="69"/>
      <c r="ETP122" s="69"/>
      <c r="ETQ122" s="69"/>
      <c r="ETR122" s="69"/>
      <c r="ETS122" s="69"/>
      <c r="ETT122" s="69"/>
      <c r="ETU122" s="69"/>
      <c r="ETV122" s="69"/>
      <c r="ETW122" s="69"/>
      <c r="ETX122" s="69"/>
      <c r="ETY122" s="69"/>
      <c r="ETZ122" s="69"/>
      <c r="EUA122" s="69"/>
      <c r="EUB122" s="69"/>
      <c r="EUC122" s="69"/>
      <c r="EUD122" s="69"/>
      <c r="EUE122" s="69"/>
      <c r="EUF122" s="69"/>
      <c r="EUG122" s="69"/>
      <c r="EUH122" s="69"/>
      <c r="EUI122" s="69"/>
      <c r="EUJ122" s="69"/>
      <c r="EUK122" s="69"/>
      <c r="EUL122" s="69"/>
      <c r="EUM122" s="69"/>
      <c r="EUN122" s="69"/>
      <c r="EUO122" s="69"/>
      <c r="EUP122" s="69"/>
      <c r="EUQ122" s="69"/>
      <c r="EUR122" s="69"/>
      <c r="EUS122" s="69"/>
      <c r="EUT122" s="69"/>
      <c r="EUU122" s="69"/>
      <c r="EUV122" s="69"/>
      <c r="EUW122" s="69"/>
      <c r="EUX122" s="69"/>
      <c r="EUY122" s="69"/>
      <c r="EUZ122" s="69"/>
      <c r="EVA122" s="69"/>
      <c r="EVB122" s="69"/>
      <c r="EVC122" s="69"/>
      <c r="EVD122" s="69"/>
      <c r="EVE122" s="69"/>
      <c r="EVF122" s="69"/>
      <c r="EVG122" s="69"/>
      <c r="EVH122" s="69"/>
      <c r="EVI122" s="69"/>
      <c r="EVJ122" s="69"/>
      <c r="EVK122" s="69"/>
      <c r="EVL122" s="69"/>
      <c r="EVM122" s="69"/>
      <c r="EVN122" s="69"/>
      <c r="EVO122" s="69"/>
      <c r="EVP122" s="69"/>
      <c r="EVQ122" s="69"/>
      <c r="EVR122" s="69"/>
      <c r="EVS122" s="69"/>
      <c r="EVT122" s="69"/>
      <c r="EVU122" s="69"/>
      <c r="EVV122" s="69"/>
      <c r="EVW122" s="69"/>
      <c r="EVX122" s="69"/>
      <c r="EVY122" s="69"/>
      <c r="EVZ122" s="69"/>
      <c r="EWA122" s="69"/>
      <c r="EWB122" s="69"/>
      <c r="EWC122" s="69"/>
      <c r="EWD122" s="69"/>
      <c r="EWE122" s="69"/>
      <c r="EWF122" s="69"/>
      <c r="EWG122" s="69"/>
      <c r="EWH122" s="69"/>
      <c r="EWI122" s="69"/>
      <c r="EWJ122" s="69"/>
      <c r="EWK122" s="69"/>
      <c r="EWL122" s="69"/>
      <c r="EWM122" s="69"/>
      <c r="EWN122" s="69"/>
      <c r="EWO122" s="69"/>
      <c r="EWP122" s="69"/>
      <c r="EWQ122" s="69"/>
      <c r="EWR122" s="69"/>
      <c r="EWS122" s="69"/>
      <c r="EWT122" s="69"/>
      <c r="EWU122" s="69"/>
      <c r="EWV122" s="69"/>
      <c r="EWW122" s="69"/>
      <c r="EWX122" s="69"/>
      <c r="EWY122" s="69"/>
      <c r="EWZ122" s="69"/>
      <c r="EXA122" s="69"/>
      <c r="EXB122" s="69"/>
      <c r="EXC122" s="69"/>
      <c r="EXD122" s="69"/>
      <c r="EXE122" s="69"/>
      <c r="EXF122" s="69"/>
      <c r="EXG122" s="69"/>
      <c r="EXH122" s="69"/>
      <c r="EXI122" s="69"/>
      <c r="EXJ122" s="69"/>
      <c r="EXK122" s="69"/>
      <c r="EXL122" s="69"/>
      <c r="EXM122" s="69"/>
      <c r="EXN122" s="69"/>
      <c r="EXO122" s="69"/>
      <c r="EXP122" s="69"/>
      <c r="EXQ122" s="69"/>
      <c r="EXR122" s="69"/>
      <c r="EXS122" s="69"/>
      <c r="EXT122" s="69"/>
      <c r="EXU122" s="69"/>
      <c r="EXV122" s="69"/>
      <c r="EXW122" s="69"/>
      <c r="EXX122" s="69"/>
      <c r="EXY122" s="69"/>
      <c r="EXZ122" s="69"/>
      <c r="EYA122" s="69"/>
      <c r="EYB122" s="69"/>
      <c r="EYC122" s="69"/>
      <c r="EYD122" s="69"/>
      <c r="EYE122" s="69"/>
      <c r="EYF122" s="69"/>
      <c r="EYG122" s="69"/>
      <c r="EYH122" s="69"/>
      <c r="EYI122" s="69"/>
      <c r="EYJ122" s="69"/>
      <c r="EYK122" s="69"/>
      <c r="EYL122" s="69"/>
      <c r="EYM122" s="69"/>
      <c r="EYN122" s="69"/>
      <c r="EYO122" s="69"/>
      <c r="EYP122" s="69"/>
      <c r="EYQ122" s="69"/>
      <c r="EYR122" s="69"/>
      <c r="EYS122" s="69"/>
      <c r="EYT122" s="69"/>
      <c r="EYU122" s="69"/>
      <c r="EYV122" s="69"/>
      <c r="EYW122" s="69"/>
      <c r="EYX122" s="69"/>
      <c r="EYY122" s="69"/>
      <c r="EYZ122" s="69"/>
      <c r="EZA122" s="69"/>
      <c r="EZB122" s="69"/>
      <c r="EZC122" s="69"/>
      <c r="EZD122" s="69"/>
      <c r="EZE122" s="69"/>
      <c r="EZF122" s="69"/>
      <c r="EZG122" s="69"/>
      <c r="EZH122" s="69"/>
      <c r="EZI122" s="69"/>
      <c r="EZJ122" s="69"/>
      <c r="EZK122" s="69"/>
      <c r="EZL122" s="69"/>
      <c r="EZM122" s="69"/>
      <c r="EZN122" s="69"/>
      <c r="EZO122" s="69"/>
      <c r="EZP122" s="69"/>
      <c r="EZQ122" s="69"/>
      <c r="EZR122" s="69"/>
      <c r="EZS122" s="69"/>
      <c r="EZT122" s="69"/>
      <c r="EZU122" s="69"/>
      <c r="EZV122" s="69"/>
      <c r="EZW122" s="69"/>
      <c r="EZX122" s="69"/>
      <c r="EZY122" s="69"/>
      <c r="EZZ122" s="69"/>
      <c r="FAA122" s="69"/>
      <c r="FAB122" s="69"/>
      <c r="FAC122" s="69"/>
      <c r="FAD122" s="69"/>
      <c r="FAE122" s="69"/>
      <c r="FAF122" s="69"/>
      <c r="FAG122" s="69"/>
      <c r="FAH122" s="69"/>
      <c r="FAI122" s="69"/>
      <c r="FAJ122" s="69"/>
      <c r="FAK122" s="69"/>
      <c r="FAL122" s="69"/>
      <c r="FAM122" s="69"/>
      <c r="FAN122" s="69"/>
      <c r="FAO122" s="69"/>
      <c r="FAP122" s="69"/>
      <c r="FAQ122" s="69"/>
      <c r="FAR122" s="69"/>
      <c r="FAS122" s="69"/>
      <c r="FAT122" s="69"/>
      <c r="FAU122" s="69"/>
      <c r="FAV122" s="69"/>
      <c r="FAW122" s="69"/>
      <c r="FAX122" s="69"/>
      <c r="FAY122" s="69"/>
      <c r="FAZ122" s="69"/>
      <c r="FBA122" s="69"/>
      <c r="FBB122" s="69"/>
      <c r="FBC122" s="69"/>
      <c r="FBD122" s="69"/>
      <c r="FBE122" s="69"/>
      <c r="FBF122" s="69"/>
      <c r="FBG122" s="69"/>
      <c r="FBH122" s="69"/>
      <c r="FBI122" s="69"/>
      <c r="FBJ122" s="69"/>
      <c r="FBK122" s="69"/>
      <c r="FBL122" s="69"/>
      <c r="FBM122" s="69"/>
      <c r="FBN122" s="69"/>
      <c r="FBO122" s="69"/>
      <c r="FBP122" s="69"/>
      <c r="FBQ122" s="69"/>
      <c r="FBR122" s="69"/>
      <c r="FBS122" s="69"/>
      <c r="FBT122" s="69"/>
      <c r="FBU122" s="69"/>
      <c r="FBV122" s="69"/>
      <c r="FBW122" s="69"/>
      <c r="FBX122" s="69"/>
      <c r="FBY122" s="69"/>
      <c r="FBZ122" s="69"/>
      <c r="FCA122" s="69"/>
      <c r="FCB122" s="69"/>
      <c r="FCC122" s="69"/>
      <c r="FCD122" s="69"/>
      <c r="FCE122" s="69"/>
      <c r="FCF122" s="69"/>
      <c r="FCG122" s="69"/>
      <c r="FCH122" s="69"/>
      <c r="FCI122" s="69"/>
      <c r="FCJ122" s="69"/>
      <c r="FCK122" s="69"/>
      <c r="FCL122" s="69"/>
      <c r="FCM122" s="69"/>
      <c r="FCN122" s="69"/>
      <c r="FCO122" s="69"/>
      <c r="FCP122" s="69"/>
      <c r="FCQ122" s="69"/>
      <c r="FCR122" s="69"/>
      <c r="FCS122" s="69"/>
      <c r="FCT122" s="69"/>
      <c r="FCU122" s="69"/>
      <c r="FCV122" s="69"/>
      <c r="FCW122" s="69"/>
      <c r="FCX122" s="69"/>
      <c r="FCY122" s="69"/>
      <c r="FCZ122" s="69"/>
      <c r="FDA122" s="69"/>
      <c r="FDB122" s="69"/>
      <c r="FDC122" s="69"/>
      <c r="FDD122" s="69"/>
      <c r="FDE122" s="69"/>
      <c r="FDF122" s="69"/>
      <c r="FDG122" s="69"/>
      <c r="FDH122" s="69"/>
      <c r="FDI122" s="69"/>
      <c r="FDJ122" s="69"/>
      <c r="FDK122" s="69"/>
      <c r="FDL122" s="69"/>
      <c r="FDM122" s="69"/>
      <c r="FDN122" s="69"/>
      <c r="FDO122" s="69"/>
      <c r="FDP122" s="69"/>
      <c r="FDQ122" s="69"/>
      <c r="FDR122" s="69"/>
      <c r="FDS122" s="69"/>
      <c r="FDT122" s="69"/>
      <c r="FDU122" s="69"/>
      <c r="FDV122" s="69"/>
      <c r="FDW122" s="69"/>
      <c r="FDX122" s="69"/>
      <c r="FDY122" s="69"/>
      <c r="FDZ122" s="69"/>
      <c r="FEA122" s="69"/>
      <c r="FEB122" s="69"/>
      <c r="FEC122" s="69"/>
      <c r="FED122" s="69"/>
      <c r="FEE122" s="69"/>
      <c r="FEF122" s="69"/>
      <c r="FEG122" s="69"/>
      <c r="FEH122" s="69"/>
      <c r="FEI122" s="69"/>
      <c r="FEJ122" s="69"/>
      <c r="FEK122" s="69"/>
      <c r="FEL122" s="69"/>
      <c r="FEM122" s="69"/>
      <c r="FEN122" s="69"/>
      <c r="FEO122" s="69"/>
      <c r="FEP122" s="69"/>
      <c r="FEQ122" s="69"/>
      <c r="FER122" s="69"/>
      <c r="FES122" s="69"/>
      <c r="FET122" s="69"/>
      <c r="FEU122" s="69"/>
      <c r="FEV122" s="69"/>
      <c r="FEW122" s="69"/>
      <c r="FEX122" s="69"/>
      <c r="FEY122" s="69"/>
      <c r="FEZ122" s="69"/>
      <c r="FFA122" s="69"/>
      <c r="FFB122" s="69"/>
      <c r="FFC122" s="69"/>
      <c r="FFD122" s="69"/>
      <c r="FFE122" s="69"/>
      <c r="FFF122" s="69"/>
      <c r="FFG122" s="69"/>
      <c r="FFH122" s="69"/>
      <c r="FFI122" s="69"/>
      <c r="FFJ122" s="69"/>
      <c r="FFK122" s="69"/>
      <c r="FFL122" s="69"/>
      <c r="FFM122" s="69"/>
      <c r="FFN122" s="69"/>
      <c r="FFO122" s="69"/>
      <c r="FFP122" s="69"/>
      <c r="FFQ122" s="69"/>
      <c r="FFR122" s="69"/>
      <c r="FFS122" s="69"/>
      <c r="FFT122" s="69"/>
      <c r="FFU122" s="69"/>
      <c r="FFV122" s="69"/>
      <c r="FFW122" s="69"/>
      <c r="FFX122" s="69"/>
      <c r="FFY122" s="69"/>
      <c r="FFZ122" s="69"/>
      <c r="FGA122" s="69"/>
      <c r="FGB122" s="69"/>
      <c r="FGC122" s="69"/>
      <c r="FGD122" s="69"/>
      <c r="FGE122" s="69"/>
      <c r="FGF122" s="69"/>
      <c r="FGG122" s="69"/>
      <c r="FGH122" s="69"/>
      <c r="FGI122" s="69"/>
      <c r="FGJ122" s="69"/>
      <c r="FGK122" s="69"/>
      <c r="FGL122" s="69"/>
      <c r="FGM122" s="69"/>
      <c r="FGN122" s="69"/>
      <c r="FGO122" s="69"/>
      <c r="FGP122" s="69"/>
      <c r="FGQ122" s="69"/>
      <c r="FGR122" s="69"/>
      <c r="FGS122" s="69"/>
      <c r="FGT122" s="69"/>
      <c r="FGU122" s="69"/>
      <c r="FGV122" s="69"/>
      <c r="FGW122" s="69"/>
      <c r="FGX122" s="69"/>
      <c r="FGY122" s="69"/>
      <c r="FGZ122" s="69"/>
      <c r="FHA122" s="69"/>
      <c r="FHB122" s="69"/>
      <c r="FHC122" s="69"/>
      <c r="FHD122" s="69"/>
      <c r="FHE122" s="69"/>
      <c r="FHF122" s="69"/>
      <c r="FHG122" s="69"/>
      <c r="FHH122" s="69"/>
      <c r="FHI122" s="69"/>
      <c r="FHJ122" s="69"/>
      <c r="FHK122" s="69"/>
      <c r="FHL122" s="69"/>
      <c r="FHM122" s="69"/>
      <c r="FHN122" s="69"/>
      <c r="FHO122" s="69"/>
      <c r="FHP122" s="69"/>
      <c r="FHQ122" s="69"/>
      <c r="FHR122" s="69"/>
      <c r="FHS122" s="69"/>
      <c r="FHT122" s="69"/>
      <c r="FHU122" s="69"/>
      <c r="FHV122" s="69"/>
      <c r="FHW122" s="69"/>
      <c r="FHX122" s="69"/>
      <c r="FHY122" s="69"/>
      <c r="FHZ122" s="69"/>
      <c r="FIA122" s="69"/>
      <c r="FIB122" s="69"/>
      <c r="FIC122" s="69"/>
      <c r="FID122" s="69"/>
      <c r="FIE122" s="69"/>
      <c r="FIF122" s="69"/>
      <c r="FIG122" s="69"/>
      <c r="FIH122" s="69"/>
      <c r="FII122" s="69"/>
      <c r="FIJ122" s="69"/>
      <c r="FIK122" s="69"/>
      <c r="FIL122" s="69"/>
      <c r="FIM122" s="69"/>
      <c r="FIN122" s="69"/>
      <c r="FIO122" s="69"/>
      <c r="FIP122" s="69"/>
      <c r="FIQ122" s="69"/>
      <c r="FIR122" s="69"/>
      <c r="FIS122" s="69"/>
      <c r="FIT122" s="69"/>
      <c r="FIU122" s="69"/>
      <c r="FIV122" s="69"/>
      <c r="FIW122" s="69"/>
      <c r="FIX122" s="69"/>
      <c r="FIY122" s="69"/>
      <c r="FIZ122" s="69"/>
      <c r="FJA122" s="69"/>
      <c r="FJB122" s="69"/>
      <c r="FJC122" s="69"/>
      <c r="FJD122" s="69"/>
      <c r="FJE122" s="69"/>
      <c r="FJF122" s="69"/>
      <c r="FJG122" s="69"/>
      <c r="FJH122" s="69"/>
      <c r="FJI122" s="69"/>
      <c r="FJJ122" s="69"/>
      <c r="FJK122" s="69"/>
      <c r="FJL122" s="69"/>
      <c r="FJM122" s="69"/>
      <c r="FJN122" s="69"/>
      <c r="FJO122" s="69"/>
      <c r="FJP122" s="69"/>
      <c r="FJQ122" s="69"/>
      <c r="FJR122" s="69"/>
      <c r="FJS122" s="69"/>
      <c r="FJT122" s="69"/>
      <c r="FJU122" s="69"/>
      <c r="FJV122" s="69"/>
      <c r="FJW122" s="69"/>
      <c r="FJX122" s="69"/>
      <c r="FJY122" s="69"/>
      <c r="FJZ122" s="69"/>
      <c r="FKA122" s="69"/>
      <c r="FKB122" s="69"/>
      <c r="FKC122" s="69"/>
      <c r="FKD122" s="69"/>
      <c r="FKE122" s="69"/>
      <c r="FKF122" s="69"/>
      <c r="FKG122" s="69"/>
      <c r="FKH122" s="69"/>
      <c r="FKI122" s="69"/>
      <c r="FKJ122" s="69"/>
      <c r="FKK122" s="69"/>
      <c r="FKL122" s="69"/>
      <c r="FKM122" s="69"/>
      <c r="FKN122" s="69"/>
      <c r="FKO122" s="69"/>
      <c r="FKP122" s="69"/>
      <c r="FKQ122" s="69"/>
      <c r="FKR122" s="69"/>
      <c r="FKS122" s="69"/>
      <c r="FKT122" s="69"/>
      <c r="FKU122" s="69"/>
      <c r="FKV122" s="69"/>
      <c r="FKW122" s="69"/>
      <c r="FKX122" s="69"/>
      <c r="FKY122" s="69"/>
      <c r="FKZ122" s="69"/>
      <c r="FLA122" s="69"/>
      <c r="FLB122" s="69"/>
      <c r="FLC122" s="69"/>
      <c r="FLD122" s="69"/>
      <c r="FLE122" s="69"/>
      <c r="FLF122" s="69"/>
      <c r="FLG122" s="69"/>
      <c r="FLH122" s="69"/>
      <c r="FLI122" s="69"/>
      <c r="FLJ122" s="69"/>
      <c r="FLK122" s="69"/>
      <c r="FLL122" s="69"/>
      <c r="FLM122" s="69"/>
      <c r="FLN122" s="69"/>
      <c r="FLO122" s="69"/>
      <c r="FLP122" s="69"/>
      <c r="FLQ122" s="69"/>
      <c r="FLR122" s="69"/>
      <c r="FLS122" s="69"/>
      <c r="FLT122" s="69"/>
      <c r="FLU122" s="69"/>
      <c r="FLV122" s="69"/>
      <c r="FLW122" s="69"/>
      <c r="FLX122" s="69"/>
      <c r="FLY122" s="69"/>
      <c r="FLZ122" s="69"/>
      <c r="FMA122" s="69"/>
      <c r="FMB122" s="69"/>
      <c r="FMC122" s="69"/>
      <c r="FMD122" s="69"/>
      <c r="FME122" s="69"/>
      <c r="FMF122" s="69"/>
      <c r="FMG122" s="69"/>
      <c r="FMH122" s="69"/>
      <c r="FMI122" s="69"/>
      <c r="FMJ122" s="69"/>
      <c r="FMK122" s="69"/>
      <c r="FML122" s="69"/>
      <c r="FMM122" s="69"/>
      <c r="FMN122" s="69"/>
      <c r="FMO122" s="69"/>
      <c r="FMP122" s="69"/>
      <c r="FMQ122" s="69"/>
      <c r="FMR122" s="69"/>
      <c r="FMS122" s="69"/>
      <c r="FMT122" s="69"/>
      <c r="FMU122" s="69"/>
      <c r="FMV122" s="69"/>
      <c r="FMW122" s="69"/>
      <c r="FMX122" s="69"/>
      <c r="FMY122" s="69"/>
      <c r="FMZ122" s="69"/>
      <c r="FNA122" s="69"/>
      <c r="FNB122" s="69"/>
      <c r="FNC122" s="69"/>
      <c r="FND122" s="69"/>
      <c r="FNE122" s="69"/>
      <c r="FNF122" s="69"/>
      <c r="FNG122" s="69"/>
      <c r="FNH122" s="69"/>
      <c r="FNI122" s="69"/>
      <c r="FNJ122" s="69"/>
      <c r="FNK122" s="69"/>
      <c r="FNL122" s="69"/>
      <c r="FNM122" s="69"/>
      <c r="FNN122" s="69"/>
      <c r="FNO122" s="69"/>
      <c r="FNP122" s="69"/>
      <c r="FNQ122" s="69"/>
      <c r="FNR122" s="69"/>
      <c r="FNS122" s="69"/>
      <c r="FNT122" s="69"/>
      <c r="FNU122" s="69"/>
      <c r="FNV122" s="69"/>
      <c r="FNW122" s="69"/>
      <c r="FNX122" s="69"/>
      <c r="FNY122" s="69"/>
      <c r="FNZ122" s="69"/>
      <c r="FOA122" s="69"/>
      <c r="FOB122" s="69"/>
      <c r="FOC122" s="69"/>
      <c r="FOD122" s="69"/>
      <c r="FOE122" s="69"/>
      <c r="FOF122" s="69"/>
      <c r="FOG122" s="69"/>
      <c r="FOH122" s="69"/>
      <c r="FOI122" s="69"/>
      <c r="FOJ122" s="69"/>
      <c r="FOK122" s="69"/>
      <c r="FOL122" s="69"/>
      <c r="FOM122" s="69"/>
      <c r="FON122" s="69"/>
      <c r="FOO122" s="69"/>
      <c r="FOP122" s="69"/>
      <c r="FOQ122" s="69"/>
      <c r="FOR122" s="69"/>
      <c r="FOS122" s="69"/>
      <c r="FOT122" s="69"/>
      <c r="FOU122" s="69"/>
      <c r="FOV122" s="69"/>
      <c r="FOW122" s="69"/>
      <c r="FOX122" s="69"/>
      <c r="FOY122" s="69"/>
      <c r="FOZ122" s="69"/>
      <c r="FPA122" s="69"/>
      <c r="FPB122" s="69"/>
      <c r="FPC122" s="69"/>
      <c r="FPD122" s="69"/>
      <c r="FPE122" s="69"/>
      <c r="FPF122" s="69"/>
      <c r="FPG122" s="69"/>
      <c r="FPH122" s="69"/>
      <c r="FPI122" s="69"/>
      <c r="FPJ122" s="69"/>
      <c r="FPK122" s="69"/>
      <c r="FPL122" s="69"/>
      <c r="FPM122" s="69"/>
      <c r="FPN122" s="69"/>
      <c r="FPO122" s="69"/>
      <c r="FPP122" s="69"/>
      <c r="FPQ122" s="69"/>
      <c r="FPR122" s="69"/>
      <c r="FPS122" s="69"/>
      <c r="FPT122" s="69"/>
      <c r="FPU122" s="69"/>
      <c r="FPV122" s="69"/>
      <c r="FPW122" s="69"/>
      <c r="FPX122" s="69"/>
      <c r="FPY122" s="69"/>
      <c r="FPZ122" s="69"/>
      <c r="FQA122" s="69"/>
      <c r="FQB122" s="69"/>
      <c r="FQC122" s="69"/>
      <c r="FQD122" s="69"/>
      <c r="FQE122" s="69"/>
      <c r="FQF122" s="69"/>
      <c r="FQG122" s="69"/>
      <c r="FQH122" s="69"/>
      <c r="FQI122" s="69"/>
      <c r="FQJ122" s="69"/>
      <c r="FQK122" s="69"/>
      <c r="FQL122" s="69"/>
      <c r="FQM122" s="69"/>
      <c r="FQN122" s="69"/>
      <c r="FQO122" s="69"/>
      <c r="FQP122" s="69"/>
      <c r="FQQ122" s="69"/>
      <c r="FQR122" s="69"/>
      <c r="FQS122" s="69"/>
      <c r="FQT122" s="69"/>
      <c r="FQU122" s="69"/>
      <c r="FQV122" s="69"/>
      <c r="FQW122" s="69"/>
      <c r="FQX122" s="69"/>
      <c r="FQY122" s="69"/>
      <c r="FQZ122" s="69"/>
      <c r="FRA122" s="69"/>
      <c r="FRB122" s="69"/>
      <c r="FRC122" s="69"/>
      <c r="FRD122" s="69"/>
      <c r="FRE122" s="69"/>
      <c r="FRF122" s="69"/>
      <c r="FRG122" s="69"/>
      <c r="FRH122" s="69"/>
      <c r="FRI122" s="69"/>
      <c r="FRJ122" s="69"/>
      <c r="FRK122" s="69"/>
      <c r="FRL122" s="69"/>
      <c r="FRM122" s="69"/>
      <c r="FRN122" s="69"/>
      <c r="FRO122" s="69"/>
      <c r="FRP122" s="69"/>
      <c r="FRQ122" s="69"/>
      <c r="FRR122" s="69"/>
      <c r="FRS122" s="69"/>
      <c r="FRT122" s="69"/>
      <c r="FRU122" s="69"/>
      <c r="FRV122" s="69"/>
      <c r="FRW122" s="69"/>
      <c r="FRX122" s="69"/>
      <c r="FRY122" s="69"/>
      <c r="FRZ122" s="69"/>
      <c r="FSA122" s="69"/>
      <c r="FSB122" s="69"/>
      <c r="FSC122" s="69"/>
      <c r="FSD122" s="69"/>
      <c r="FSE122" s="69"/>
      <c r="FSF122" s="69"/>
      <c r="FSG122" s="69"/>
      <c r="FSH122" s="69"/>
      <c r="FSI122" s="69"/>
      <c r="FSJ122" s="69"/>
      <c r="FSK122" s="69"/>
      <c r="FSL122" s="69"/>
      <c r="FSM122" s="69"/>
      <c r="FSN122" s="69"/>
      <c r="FSO122" s="69"/>
      <c r="FSP122" s="69"/>
      <c r="FSQ122" s="69"/>
      <c r="FSR122" s="69"/>
      <c r="FSS122" s="69"/>
      <c r="FST122" s="69"/>
      <c r="FSU122" s="69"/>
      <c r="FSV122" s="69"/>
      <c r="FSW122" s="69"/>
      <c r="FSX122" s="69"/>
      <c r="FSY122" s="69"/>
      <c r="FSZ122" s="69"/>
      <c r="FTA122" s="69"/>
      <c r="FTB122" s="69"/>
      <c r="FTC122" s="69"/>
      <c r="FTD122" s="69"/>
      <c r="FTE122" s="69"/>
      <c r="FTF122" s="69"/>
      <c r="FTG122" s="69"/>
      <c r="FTH122" s="69"/>
      <c r="FTI122" s="69"/>
      <c r="FTJ122" s="69"/>
      <c r="FTK122" s="69"/>
      <c r="FTL122" s="69"/>
      <c r="FTM122" s="69"/>
      <c r="FTN122" s="69"/>
      <c r="FTO122" s="69"/>
      <c r="FTP122" s="69"/>
      <c r="FTQ122" s="69"/>
      <c r="FTR122" s="69"/>
      <c r="FTS122" s="69"/>
      <c r="FTT122" s="69"/>
      <c r="FTU122" s="69"/>
      <c r="FTV122" s="69"/>
      <c r="FTW122" s="69"/>
      <c r="FTX122" s="69"/>
      <c r="FTY122" s="69"/>
      <c r="FTZ122" s="69"/>
      <c r="FUA122" s="69"/>
      <c r="FUB122" s="69"/>
      <c r="FUC122" s="69"/>
      <c r="FUD122" s="69"/>
      <c r="FUE122" s="69"/>
      <c r="FUF122" s="69"/>
      <c r="FUG122" s="69"/>
      <c r="FUH122" s="69"/>
      <c r="FUI122" s="69"/>
      <c r="FUJ122" s="69"/>
      <c r="FUK122" s="69"/>
      <c r="FUL122" s="69"/>
      <c r="FUM122" s="69"/>
      <c r="FUN122" s="69"/>
      <c r="FUO122" s="69"/>
      <c r="FUP122" s="69"/>
      <c r="FUQ122" s="69"/>
      <c r="FUR122" s="69"/>
      <c r="FUS122" s="69"/>
      <c r="FUT122" s="69"/>
      <c r="FUU122" s="69"/>
      <c r="FUV122" s="69"/>
      <c r="FUW122" s="69"/>
      <c r="FUX122" s="69"/>
      <c r="FUY122" s="69"/>
      <c r="FUZ122" s="69"/>
      <c r="FVA122" s="69"/>
      <c r="FVB122" s="69"/>
      <c r="FVC122" s="69"/>
      <c r="FVD122" s="69"/>
      <c r="FVE122" s="69"/>
      <c r="FVF122" s="69"/>
      <c r="FVG122" s="69"/>
      <c r="FVH122" s="69"/>
      <c r="FVI122" s="69"/>
      <c r="FVJ122" s="69"/>
      <c r="FVK122" s="69"/>
      <c r="FVL122" s="69"/>
      <c r="FVM122" s="69"/>
      <c r="FVN122" s="69"/>
      <c r="FVO122" s="69"/>
      <c r="FVP122" s="69"/>
      <c r="FVQ122" s="69"/>
      <c r="FVR122" s="69"/>
      <c r="FVS122" s="69"/>
      <c r="FVT122" s="69"/>
      <c r="FVU122" s="69"/>
      <c r="FVV122" s="69"/>
      <c r="FVW122" s="69"/>
      <c r="FVX122" s="69"/>
      <c r="FVY122" s="69"/>
      <c r="FVZ122" s="69"/>
      <c r="FWA122" s="69"/>
      <c r="FWB122" s="69"/>
      <c r="FWC122" s="69"/>
      <c r="FWD122" s="69"/>
      <c r="FWE122" s="69"/>
      <c r="FWF122" s="69"/>
      <c r="FWG122" s="69"/>
      <c r="FWH122" s="69"/>
      <c r="FWI122" s="69"/>
      <c r="FWJ122" s="69"/>
      <c r="FWK122" s="69"/>
      <c r="FWL122" s="69"/>
      <c r="FWM122" s="69"/>
      <c r="FWN122" s="69"/>
      <c r="FWO122" s="69"/>
      <c r="FWP122" s="69"/>
      <c r="FWQ122" s="69"/>
      <c r="FWR122" s="69"/>
      <c r="FWS122" s="69"/>
      <c r="FWT122" s="69"/>
      <c r="FWU122" s="69"/>
      <c r="FWV122" s="69"/>
      <c r="FWW122" s="69"/>
      <c r="FWX122" s="69"/>
      <c r="FWY122" s="69"/>
      <c r="FWZ122" s="69"/>
      <c r="FXA122" s="69"/>
      <c r="FXB122" s="69"/>
      <c r="FXC122" s="69"/>
      <c r="FXD122" s="69"/>
      <c r="FXE122" s="69"/>
      <c r="FXF122" s="69"/>
      <c r="FXG122" s="69"/>
      <c r="FXH122" s="69"/>
      <c r="FXI122" s="69"/>
      <c r="FXJ122" s="69"/>
      <c r="FXK122" s="69"/>
      <c r="FXL122" s="69"/>
      <c r="FXM122" s="69"/>
      <c r="FXN122" s="69"/>
      <c r="FXO122" s="69"/>
      <c r="FXP122" s="69"/>
      <c r="FXQ122" s="69"/>
      <c r="FXR122" s="69"/>
      <c r="FXS122" s="69"/>
      <c r="FXT122" s="69"/>
      <c r="FXU122" s="69"/>
      <c r="FXV122" s="69"/>
      <c r="FXW122" s="69"/>
      <c r="FXX122" s="69"/>
      <c r="FXY122" s="69"/>
      <c r="FXZ122" s="69"/>
      <c r="FYA122" s="69"/>
      <c r="FYB122" s="69"/>
      <c r="FYC122" s="69"/>
      <c r="FYD122" s="69"/>
      <c r="FYE122" s="69"/>
      <c r="FYF122" s="69"/>
      <c r="FYG122" s="69"/>
      <c r="FYH122" s="69"/>
      <c r="FYI122" s="69"/>
      <c r="FYJ122" s="69"/>
      <c r="FYK122" s="69"/>
      <c r="FYL122" s="69"/>
      <c r="FYM122" s="69"/>
      <c r="FYN122" s="69"/>
      <c r="FYO122" s="69"/>
      <c r="FYP122" s="69"/>
      <c r="FYQ122" s="69"/>
      <c r="FYR122" s="69"/>
      <c r="FYS122" s="69"/>
      <c r="FYT122" s="69"/>
      <c r="FYU122" s="69"/>
      <c r="FYV122" s="69"/>
      <c r="FYW122" s="69"/>
      <c r="FYX122" s="69"/>
      <c r="FYY122" s="69"/>
      <c r="FYZ122" s="69"/>
      <c r="FZA122" s="69"/>
      <c r="FZB122" s="69"/>
      <c r="FZC122" s="69"/>
      <c r="FZD122" s="69"/>
      <c r="FZE122" s="69"/>
      <c r="FZF122" s="69"/>
      <c r="FZG122" s="69"/>
      <c r="FZH122" s="69"/>
      <c r="FZI122" s="69"/>
      <c r="FZJ122" s="69"/>
      <c r="FZK122" s="69"/>
      <c r="FZL122" s="69"/>
      <c r="FZM122" s="69"/>
      <c r="FZN122" s="69"/>
      <c r="FZO122" s="69"/>
      <c r="FZP122" s="69"/>
      <c r="FZQ122" s="69"/>
      <c r="FZR122" s="69"/>
      <c r="FZS122" s="69"/>
      <c r="FZT122" s="69"/>
      <c r="FZU122" s="69"/>
      <c r="FZV122" s="69"/>
      <c r="FZW122" s="69"/>
      <c r="FZX122" s="69"/>
      <c r="FZY122" s="69"/>
      <c r="FZZ122" s="69"/>
      <c r="GAA122" s="69"/>
      <c r="GAB122" s="69"/>
      <c r="GAC122" s="69"/>
      <c r="GAD122" s="69"/>
      <c r="GAE122" s="69"/>
      <c r="GAF122" s="69"/>
      <c r="GAG122" s="69"/>
      <c r="GAH122" s="69"/>
      <c r="GAI122" s="69"/>
      <c r="GAJ122" s="69"/>
      <c r="GAK122" s="69"/>
      <c r="GAL122" s="69"/>
      <c r="GAM122" s="69"/>
      <c r="GAN122" s="69"/>
      <c r="GAO122" s="69"/>
      <c r="GAP122" s="69"/>
      <c r="GAQ122" s="69"/>
      <c r="GAR122" s="69"/>
      <c r="GAS122" s="69"/>
      <c r="GAT122" s="69"/>
      <c r="GAU122" s="69"/>
      <c r="GAV122" s="69"/>
      <c r="GAW122" s="69"/>
      <c r="GAX122" s="69"/>
      <c r="GAY122" s="69"/>
      <c r="GAZ122" s="69"/>
      <c r="GBA122" s="69"/>
      <c r="GBB122" s="69"/>
      <c r="GBC122" s="69"/>
      <c r="GBD122" s="69"/>
      <c r="GBE122" s="69"/>
      <c r="GBF122" s="69"/>
      <c r="GBG122" s="69"/>
      <c r="GBH122" s="69"/>
      <c r="GBI122" s="69"/>
      <c r="GBJ122" s="69"/>
      <c r="GBK122" s="69"/>
      <c r="GBL122" s="69"/>
      <c r="GBM122" s="69"/>
      <c r="GBN122" s="69"/>
      <c r="GBO122" s="69"/>
      <c r="GBP122" s="69"/>
      <c r="GBQ122" s="69"/>
      <c r="GBR122" s="69"/>
      <c r="GBS122" s="69"/>
      <c r="GBT122" s="69"/>
      <c r="GBU122" s="69"/>
      <c r="GBV122" s="69"/>
      <c r="GBW122" s="69"/>
      <c r="GBX122" s="69"/>
      <c r="GBY122" s="69"/>
      <c r="GBZ122" s="69"/>
      <c r="GCA122" s="69"/>
      <c r="GCB122" s="69"/>
      <c r="GCC122" s="69"/>
      <c r="GCD122" s="69"/>
      <c r="GCE122" s="69"/>
      <c r="GCF122" s="69"/>
      <c r="GCG122" s="69"/>
      <c r="GCH122" s="69"/>
      <c r="GCI122" s="69"/>
      <c r="GCJ122" s="69"/>
      <c r="GCK122" s="69"/>
      <c r="GCL122" s="69"/>
      <c r="GCM122" s="69"/>
      <c r="GCN122" s="69"/>
      <c r="GCO122" s="69"/>
      <c r="GCP122" s="69"/>
      <c r="GCQ122" s="69"/>
      <c r="GCR122" s="69"/>
      <c r="GCS122" s="69"/>
      <c r="GCT122" s="69"/>
      <c r="GCU122" s="69"/>
      <c r="GCV122" s="69"/>
      <c r="GCW122" s="69"/>
      <c r="GCX122" s="69"/>
      <c r="GCY122" s="69"/>
      <c r="GCZ122" s="69"/>
      <c r="GDA122" s="69"/>
      <c r="GDB122" s="69"/>
      <c r="GDC122" s="69"/>
      <c r="GDD122" s="69"/>
      <c r="GDE122" s="69"/>
      <c r="GDF122" s="69"/>
      <c r="GDG122" s="69"/>
      <c r="GDH122" s="69"/>
      <c r="GDI122" s="69"/>
      <c r="GDJ122" s="69"/>
      <c r="GDK122" s="69"/>
      <c r="GDL122" s="69"/>
      <c r="GDM122" s="69"/>
      <c r="GDN122" s="69"/>
      <c r="GDO122" s="69"/>
      <c r="GDP122" s="69"/>
      <c r="GDQ122" s="69"/>
      <c r="GDR122" s="69"/>
      <c r="GDS122" s="69"/>
      <c r="GDT122" s="69"/>
      <c r="GDU122" s="69"/>
      <c r="GDV122" s="69"/>
      <c r="GDW122" s="69"/>
      <c r="GDX122" s="69"/>
      <c r="GDY122" s="69"/>
      <c r="GDZ122" s="69"/>
      <c r="GEA122" s="69"/>
      <c r="GEB122" s="69"/>
      <c r="GEC122" s="69"/>
      <c r="GED122" s="69"/>
      <c r="GEE122" s="69"/>
      <c r="GEF122" s="69"/>
      <c r="GEG122" s="69"/>
      <c r="GEH122" s="69"/>
      <c r="GEI122" s="69"/>
      <c r="GEJ122" s="69"/>
      <c r="GEK122" s="69"/>
      <c r="GEL122" s="69"/>
      <c r="GEM122" s="69"/>
      <c r="GEN122" s="69"/>
      <c r="GEO122" s="69"/>
      <c r="GEP122" s="69"/>
      <c r="GEQ122" s="69"/>
      <c r="GER122" s="69"/>
      <c r="GES122" s="69"/>
      <c r="GET122" s="69"/>
      <c r="GEU122" s="69"/>
      <c r="GEV122" s="69"/>
      <c r="GEW122" s="69"/>
      <c r="GEX122" s="69"/>
      <c r="GEY122" s="69"/>
      <c r="GEZ122" s="69"/>
      <c r="GFA122" s="69"/>
      <c r="GFB122" s="69"/>
      <c r="GFC122" s="69"/>
      <c r="GFD122" s="69"/>
      <c r="GFE122" s="69"/>
      <c r="GFF122" s="69"/>
      <c r="GFG122" s="69"/>
      <c r="GFH122" s="69"/>
      <c r="GFI122" s="69"/>
      <c r="GFJ122" s="69"/>
      <c r="GFK122" s="69"/>
      <c r="GFL122" s="69"/>
      <c r="GFM122" s="69"/>
      <c r="GFN122" s="69"/>
      <c r="GFO122" s="69"/>
      <c r="GFP122" s="69"/>
      <c r="GFQ122" s="69"/>
      <c r="GFR122" s="69"/>
      <c r="GFS122" s="69"/>
      <c r="GFT122" s="69"/>
      <c r="GFU122" s="69"/>
      <c r="GFV122" s="69"/>
      <c r="GFW122" s="69"/>
      <c r="GFX122" s="69"/>
      <c r="GFY122" s="69"/>
      <c r="GFZ122" s="69"/>
      <c r="GGA122" s="69"/>
      <c r="GGB122" s="69"/>
      <c r="GGC122" s="69"/>
      <c r="GGD122" s="69"/>
      <c r="GGE122" s="69"/>
      <c r="GGF122" s="69"/>
      <c r="GGG122" s="69"/>
      <c r="GGH122" s="69"/>
      <c r="GGI122" s="69"/>
      <c r="GGJ122" s="69"/>
      <c r="GGK122" s="69"/>
      <c r="GGL122" s="69"/>
      <c r="GGM122" s="69"/>
      <c r="GGN122" s="69"/>
      <c r="GGO122" s="69"/>
      <c r="GGP122" s="69"/>
      <c r="GGQ122" s="69"/>
      <c r="GGR122" s="69"/>
      <c r="GGS122" s="69"/>
      <c r="GGT122" s="69"/>
      <c r="GGU122" s="69"/>
      <c r="GGV122" s="69"/>
      <c r="GGW122" s="69"/>
      <c r="GGX122" s="69"/>
      <c r="GGY122" s="69"/>
      <c r="GGZ122" s="69"/>
      <c r="GHA122" s="69"/>
      <c r="GHB122" s="69"/>
      <c r="GHC122" s="69"/>
      <c r="GHD122" s="69"/>
      <c r="GHE122" s="69"/>
      <c r="GHF122" s="69"/>
      <c r="GHG122" s="69"/>
      <c r="GHH122" s="69"/>
      <c r="GHI122" s="69"/>
      <c r="GHJ122" s="69"/>
      <c r="GHK122" s="69"/>
      <c r="GHL122" s="69"/>
      <c r="GHM122" s="69"/>
      <c r="GHN122" s="69"/>
      <c r="GHO122" s="69"/>
      <c r="GHP122" s="69"/>
      <c r="GHQ122" s="69"/>
      <c r="GHR122" s="69"/>
      <c r="GHS122" s="69"/>
      <c r="GHT122" s="69"/>
      <c r="GHU122" s="69"/>
      <c r="GHV122" s="69"/>
      <c r="GHW122" s="69"/>
      <c r="GHX122" s="69"/>
      <c r="GHY122" s="69"/>
      <c r="GHZ122" s="69"/>
      <c r="GIA122" s="69"/>
      <c r="GIB122" s="69"/>
      <c r="GIC122" s="69"/>
      <c r="GID122" s="69"/>
      <c r="GIE122" s="69"/>
      <c r="GIF122" s="69"/>
      <c r="GIG122" s="69"/>
      <c r="GIH122" s="69"/>
      <c r="GII122" s="69"/>
      <c r="GIJ122" s="69"/>
      <c r="GIK122" s="69"/>
      <c r="GIL122" s="69"/>
      <c r="GIM122" s="69"/>
      <c r="GIN122" s="69"/>
      <c r="GIO122" s="69"/>
      <c r="GIP122" s="69"/>
      <c r="GIQ122" s="69"/>
      <c r="GIR122" s="69"/>
      <c r="GIS122" s="69"/>
      <c r="GIT122" s="69"/>
      <c r="GIU122" s="69"/>
      <c r="GIV122" s="69"/>
      <c r="GIW122" s="69"/>
      <c r="GIX122" s="69"/>
      <c r="GIY122" s="69"/>
      <c r="GIZ122" s="69"/>
      <c r="GJA122" s="69"/>
      <c r="GJB122" s="69"/>
      <c r="GJC122" s="69"/>
      <c r="GJD122" s="69"/>
      <c r="GJE122" s="69"/>
      <c r="GJF122" s="69"/>
      <c r="GJG122" s="69"/>
      <c r="GJH122" s="69"/>
      <c r="GJI122" s="69"/>
      <c r="GJJ122" s="69"/>
      <c r="GJK122" s="69"/>
      <c r="GJL122" s="69"/>
      <c r="GJM122" s="69"/>
      <c r="GJN122" s="69"/>
      <c r="GJO122" s="69"/>
      <c r="GJP122" s="69"/>
      <c r="GJQ122" s="69"/>
      <c r="GJR122" s="69"/>
      <c r="GJS122" s="69"/>
      <c r="GJT122" s="69"/>
      <c r="GJU122" s="69"/>
      <c r="GJV122" s="69"/>
      <c r="GJW122" s="69"/>
      <c r="GJX122" s="69"/>
      <c r="GJY122" s="69"/>
      <c r="GJZ122" s="69"/>
      <c r="GKA122" s="69"/>
      <c r="GKB122" s="69"/>
      <c r="GKC122" s="69"/>
      <c r="GKD122" s="69"/>
      <c r="GKE122" s="69"/>
      <c r="GKF122" s="69"/>
      <c r="GKG122" s="69"/>
      <c r="GKH122" s="69"/>
      <c r="GKI122" s="69"/>
      <c r="GKJ122" s="69"/>
      <c r="GKK122" s="69"/>
      <c r="GKL122" s="69"/>
      <c r="GKM122" s="69"/>
      <c r="GKN122" s="69"/>
      <c r="GKO122" s="69"/>
      <c r="GKP122" s="69"/>
      <c r="GKQ122" s="69"/>
      <c r="GKR122" s="69"/>
      <c r="GKS122" s="69"/>
      <c r="GKT122" s="69"/>
      <c r="GKU122" s="69"/>
      <c r="GKV122" s="69"/>
      <c r="GKW122" s="69"/>
      <c r="GKX122" s="69"/>
      <c r="GKY122" s="69"/>
      <c r="GKZ122" s="69"/>
      <c r="GLA122" s="69"/>
      <c r="GLB122" s="69"/>
      <c r="GLC122" s="69"/>
      <c r="GLD122" s="69"/>
      <c r="GLE122" s="69"/>
      <c r="GLF122" s="69"/>
      <c r="GLG122" s="69"/>
      <c r="GLH122" s="69"/>
      <c r="GLI122" s="69"/>
      <c r="GLJ122" s="69"/>
      <c r="GLK122" s="69"/>
      <c r="GLL122" s="69"/>
      <c r="GLM122" s="69"/>
      <c r="GLN122" s="69"/>
      <c r="GLO122" s="69"/>
      <c r="GLP122" s="69"/>
      <c r="GLQ122" s="69"/>
      <c r="GLR122" s="69"/>
      <c r="GLS122" s="69"/>
      <c r="GLT122" s="69"/>
      <c r="GLU122" s="69"/>
      <c r="GLV122" s="69"/>
      <c r="GLW122" s="69"/>
      <c r="GLX122" s="69"/>
      <c r="GLY122" s="69"/>
      <c r="GLZ122" s="69"/>
      <c r="GMA122" s="69"/>
      <c r="GMB122" s="69"/>
      <c r="GMC122" s="69"/>
      <c r="GMD122" s="69"/>
      <c r="GME122" s="69"/>
      <c r="GMF122" s="69"/>
      <c r="GMG122" s="69"/>
      <c r="GMH122" s="69"/>
      <c r="GMI122" s="69"/>
      <c r="GMJ122" s="69"/>
      <c r="GMK122" s="69"/>
      <c r="GML122" s="69"/>
      <c r="GMM122" s="69"/>
      <c r="GMN122" s="69"/>
      <c r="GMO122" s="69"/>
      <c r="GMP122" s="69"/>
      <c r="GMQ122" s="69"/>
      <c r="GMR122" s="69"/>
      <c r="GMS122" s="69"/>
      <c r="GMT122" s="69"/>
      <c r="GMU122" s="69"/>
      <c r="GMV122" s="69"/>
      <c r="GMW122" s="69"/>
      <c r="GMX122" s="69"/>
      <c r="GMY122" s="69"/>
      <c r="GMZ122" s="69"/>
      <c r="GNA122" s="69"/>
      <c r="GNB122" s="69"/>
      <c r="GNC122" s="69"/>
      <c r="GND122" s="69"/>
      <c r="GNE122" s="69"/>
      <c r="GNF122" s="69"/>
      <c r="GNG122" s="69"/>
      <c r="GNH122" s="69"/>
      <c r="GNI122" s="69"/>
      <c r="GNJ122" s="69"/>
      <c r="GNK122" s="69"/>
      <c r="GNL122" s="69"/>
      <c r="GNM122" s="69"/>
      <c r="GNN122" s="69"/>
      <c r="GNO122" s="69"/>
      <c r="GNP122" s="69"/>
      <c r="GNQ122" s="69"/>
      <c r="GNR122" s="69"/>
      <c r="GNS122" s="69"/>
      <c r="GNT122" s="69"/>
      <c r="GNU122" s="69"/>
      <c r="GNV122" s="69"/>
      <c r="GNW122" s="69"/>
      <c r="GNX122" s="69"/>
      <c r="GNY122" s="69"/>
      <c r="GNZ122" s="69"/>
      <c r="GOA122" s="69"/>
      <c r="GOB122" s="69"/>
      <c r="GOC122" s="69"/>
      <c r="GOD122" s="69"/>
      <c r="GOE122" s="69"/>
      <c r="GOF122" s="69"/>
      <c r="GOG122" s="69"/>
      <c r="GOH122" s="69"/>
      <c r="GOI122" s="69"/>
      <c r="GOJ122" s="69"/>
      <c r="GOK122" s="69"/>
      <c r="GOL122" s="69"/>
      <c r="GOM122" s="69"/>
      <c r="GON122" s="69"/>
      <c r="GOO122" s="69"/>
      <c r="GOP122" s="69"/>
      <c r="GOQ122" s="69"/>
      <c r="GOR122" s="69"/>
      <c r="GOS122" s="69"/>
      <c r="GOT122" s="69"/>
      <c r="GOU122" s="69"/>
      <c r="GOV122" s="69"/>
      <c r="GOW122" s="69"/>
      <c r="GOX122" s="69"/>
      <c r="GOY122" s="69"/>
      <c r="GOZ122" s="69"/>
      <c r="GPA122" s="69"/>
      <c r="GPB122" s="69"/>
      <c r="GPC122" s="69"/>
      <c r="GPD122" s="69"/>
      <c r="GPE122" s="69"/>
      <c r="GPF122" s="69"/>
      <c r="GPG122" s="69"/>
      <c r="GPH122" s="69"/>
      <c r="GPI122" s="69"/>
      <c r="GPJ122" s="69"/>
      <c r="GPK122" s="69"/>
      <c r="GPL122" s="69"/>
      <c r="GPM122" s="69"/>
      <c r="GPN122" s="69"/>
      <c r="GPO122" s="69"/>
      <c r="GPP122" s="69"/>
      <c r="GPQ122" s="69"/>
      <c r="GPR122" s="69"/>
      <c r="GPS122" s="69"/>
      <c r="GPT122" s="69"/>
      <c r="GPU122" s="69"/>
      <c r="GPV122" s="69"/>
      <c r="GPW122" s="69"/>
      <c r="GPX122" s="69"/>
      <c r="GPY122" s="69"/>
      <c r="GPZ122" s="69"/>
      <c r="GQA122" s="69"/>
      <c r="GQB122" s="69"/>
      <c r="GQC122" s="69"/>
      <c r="GQD122" s="69"/>
      <c r="GQE122" s="69"/>
      <c r="GQF122" s="69"/>
      <c r="GQG122" s="69"/>
      <c r="GQH122" s="69"/>
      <c r="GQI122" s="69"/>
      <c r="GQJ122" s="69"/>
      <c r="GQK122" s="69"/>
      <c r="GQL122" s="69"/>
      <c r="GQM122" s="69"/>
      <c r="GQN122" s="69"/>
      <c r="GQO122" s="69"/>
      <c r="GQP122" s="69"/>
      <c r="GQQ122" s="69"/>
      <c r="GQR122" s="69"/>
      <c r="GQS122" s="69"/>
      <c r="GQT122" s="69"/>
      <c r="GQU122" s="69"/>
      <c r="GQV122" s="69"/>
      <c r="GQW122" s="69"/>
      <c r="GQX122" s="69"/>
      <c r="GQY122" s="69"/>
      <c r="GQZ122" s="69"/>
      <c r="GRA122" s="69"/>
      <c r="GRB122" s="69"/>
      <c r="GRC122" s="69"/>
      <c r="GRD122" s="69"/>
      <c r="GRE122" s="69"/>
      <c r="GRF122" s="69"/>
      <c r="GRG122" s="69"/>
      <c r="GRH122" s="69"/>
      <c r="GRI122" s="69"/>
      <c r="GRJ122" s="69"/>
      <c r="GRK122" s="69"/>
      <c r="GRL122" s="69"/>
      <c r="GRM122" s="69"/>
      <c r="GRN122" s="69"/>
      <c r="GRO122" s="69"/>
      <c r="GRP122" s="69"/>
      <c r="GRQ122" s="69"/>
      <c r="GRR122" s="69"/>
      <c r="GRS122" s="69"/>
      <c r="GRT122" s="69"/>
      <c r="GRU122" s="69"/>
      <c r="GRV122" s="69"/>
      <c r="GRW122" s="69"/>
      <c r="GRX122" s="69"/>
      <c r="GRY122" s="69"/>
      <c r="GRZ122" s="69"/>
      <c r="GSA122" s="69"/>
      <c r="GSB122" s="69"/>
      <c r="GSC122" s="69"/>
      <c r="GSD122" s="69"/>
      <c r="GSE122" s="69"/>
      <c r="GSF122" s="69"/>
      <c r="GSG122" s="69"/>
      <c r="GSH122" s="69"/>
      <c r="GSI122" s="69"/>
      <c r="GSJ122" s="69"/>
      <c r="GSK122" s="69"/>
      <c r="GSL122" s="69"/>
      <c r="GSM122" s="69"/>
      <c r="GSN122" s="69"/>
      <c r="GSO122" s="69"/>
      <c r="GSP122" s="69"/>
      <c r="GSQ122" s="69"/>
      <c r="GSR122" s="69"/>
      <c r="GSS122" s="69"/>
      <c r="GST122" s="69"/>
      <c r="GSU122" s="69"/>
      <c r="GSV122" s="69"/>
      <c r="GSW122" s="69"/>
      <c r="GSX122" s="69"/>
      <c r="GSY122" s="69"/>
      <c r="GSZ122" s="69"/>
      <c r="GTA122" s="69"/>
      <c r="GTB122" s="69"/>
      <c r="GTC122" s="69"/>
      <c r="GTD122" s="69"/>
      <c r="GTE122" s="69"/>
      <c r="GTF122" s="69"/>
      <c r="GTG122" s="69"/>
      <c r="GTH122" s="69"/>
      <c r="GTI122" s="69"/>
      <c r="GTJ122" s="69"/>
      <c r="GTK122" s="69"/>
      <c r="GTL122" s="69"/>
      <c r="GTM122" s="69"/>
      <c r="GTN122" s="69"/>
      <c r="GTO122" s="69"/>
      <c r="GTP122" s="69"/>
      <c r="GTQ122" s="69"/>
      <c r="GTR122" s="69"/>
      <c r="GTS122" s="69"/>
      <c r="GTT122" s="69"/>
      <c r="GTU122" s="69"/>
      <c r="GTV122" s="69"/>
      <c r="GTW122" s="69"/>
      <c r="GTX122" s="69"/>
      <c r="GTY122" s="69"/>
      <c r="GTZ122" s="69"/>
      <c r="GUA122" s="69"/>
      <c r="GUB122" s="69"/>
      <c r="GUC122" s="69"/>
      <c r="GUD122" s="69"/>
      <c r="GUE122" s="69"/>
      <c r="GUF122" s="69"/>
      <c r="GUG122" s="69"/>
      <c r="GUH122" s="69"/>
      <c r="GUI122" s="69"/>
      <c r="GUJ122" s="69"/>
      <c r="GUK122" s="69"/>
      <c r="GUL122" s="69"/>
      <c r="GUM122" s="69"/>
      <c r="GUN122" s="69"/>
      <c r="GUO122" s="69"/>
      <c r="GUP122" s="69"/>
      <c r="GUQ122" s="69"/>
      <c r="GUR122" s="69"/>
      <c r="GUS122" s="69"/>
      <c r="GUT122" s="69"/>
      <c r="GUU122" s="69"/>
      <c r="GUV122" s="69"/>
      <c r="GUW122" s="69"/>
      <c r="GUX122" s="69"/>
      <c r="GUY122" s="69"/>
      <c r="GUZ122" s="69"/>
      <c r="GVA122" s="69"/>
      <c r="GVB122" s="69"/>
      <c r="GVC122" s="69"/>
      <c r="GVD122" s="69"/>
      <c r="GVE122" s="69"/>
      <c r="GVF122" s="69"/>
      <c r="GVG122" s="69"/>
      <c r="GVH122" s="69"/>
      <c r="GVI122" s="69"/>
      <c r="GVJ122" s="69"/>
      <c r="GVK122" s="69"/>
      <c r="GVL122" s="69"/>
      <c r="GVM122" s="69"/>
      <c r="GVN122" s="69"/>
      <c r="GVO122" s="69"/>
      <c r="GVP122" s="69"/>
      <c r="GVQ122" s="69"/>
      <c r="GVR122" s="69"/>
      <c r="GVS122" s="69"/>
      <c r="GVT122" s="69"/>
      <c r="GVU122" s="69"/>
      <c r="GVV122" s="69"/>
      <c r="GVW122" s="69"/>
      <c r="GVX122" s="69"/>
      <c r="GVY122" s="69"/>
      <c r="GVZ122" s="69"/>
      <c r="GWA122" s="69"/>
      <c r="GWB122" s="69"/>
      <c r="GWC122" s="69"/>
      <c r="GWD122" s="69"/>
      <c r="GWE122" s="69"/>
      <c r="GWF122" s="69"/>
      <c r="GWG122" s="69"/>
      <c r="GWH122" s="69"/>
      <c r="GWI122" s="69"/>
      <c r="GWJ122" s="69"/>
      <c r="GWK122" s="69"/>
      <c r="GWL122" s="69"/>
      <c r="GWM122" s="69"/>
      <c r="GWN122" s="69"/>
      <c r="GWO122" s="69"/>
      <c r="GWP122" s="69"/>
      <c r="GWQ122" s="69"/>
      <c r="GWR122" s="69"/>
      <c r="GWS122" s="69"/>
      <c r="GWT122" s="69"/>
      <c r="GWU122" s="69"/>
      <c r="GWV122" s="69"/>
      <c r="GWW122" s="69"/>
      <c r="GWX122" s="69"/>
      <c r="GWY122" s="69"/>
      <c r="GWZ122" s="69"/>
      <c r="GXA122" s="69"/>
      <c r="GXB122" s="69"/>
      <c r="GXC122" s="69"/>
      <c r="GXD122" s="69"/>
      <c r="GXE122" s="69"/>
      <c r="GXF122" s="69"/>
      <c r="GXG122" s="69"/>
      <c r="GXH122" s="69"/>
      <c r="GXI122" s="69"/>
      <c r="GXJ122" s="69"/>
      <c r="GXK122" s="69"/>
      <c r="GXL122" s="69"/>
      <c r="GXM122" s="69"/>
      <c r="GXN122" s="69"/>
      <c r="GXO122" s="69"/>
      <c r="GXP122" s="69"/>
      <c r="GXQ122" s="69"/>
      <c r="GXR122" s="69"/>
      <c r="GXS122" s="69"/>
      <c r="GXT122" s="69"/>
      <c r="GXU122" s="69"/>
      <c r="GXV122" s="69"/>
      <c r="GXW122" s="69"/>
      <c r="GXX122" s="69"/>
      <c r="GXY122" s="69"/>
      <c r="GXZ122" s="69"/>
      <c r="GYA122" s="69"/>
      <c r="GYB122" s="69"/>
      <c r="GYC122" s="69"/>
      <c r="GYD122" s="69"/>
      <c r="GYE122" s="69"/>
      <c r="GYF122" s="69"/>
      <c r="GYG122" s="69"/>
      <c r="GYH122" s="69"/>
      <c r="GYI122" s="69"/>
      <c r="GYJ122" s="69"/>
      <c r="GYK122" s="69"/>
      <c r="GYL122" s="69"/>
      <c r="GYM122" s="69"/>
      <c r="GYN122" s="69"/>
      <c r="GYO122" s="69"/>
      <c r="GYP122" s="69"/>
      <c r="GYQ122" s="69"/>
      <c r="GYR122" s="69"/>
      <c r="GYS122" s="69"/>
      <c r="GYT122" s="69"/>
      <c r="GYU122" s="69"/>
      <c r="GYV122" s="69"/>
      <c r="GYW122" s="69"/>
      <c r="GYX122" s="69"/>
      <c r="GYY122" s="69"/>
      <c r="GYZ122" s="69"/>
      <c r="GZA122" s="69"/>
      <c r="GZB122" s="69"/>
      <c r="GZC122" s="69"/>
      <c r="GZD122" s="69"/>
      <c r="GZE122" s="69"/>
      <c r="GZF122" s="69"/>
      <c r="GZG122" s="69"/>
      <c r="GZH122" s="69"/>
      <c r="GZI122" s="69"/>
      <c r="GZJ122" s="69"/>
      <c r="GZK122" s="69"/>
      <c r="GZL122" s="69"/>
      <c r="GZM122" s="69"/>
      <c r="GZN122" s="69"/>
      <c r="GZO122" s="69"/>
      <c r="GZP122" s="69"/>
      <c r="GZQ122" s="69"/>
      <c r="GZR122" s="69"/>
      <c r="GZS122" s="69"/>
      <c r="GZT122" s="69"/>
      <c r="GZU122" s="69"/>
      <c r="GZV122" s="69"/>
      <c r="GZW122" s="69"/>
      <c r="GZX122" s="69"/>
      <c r="GZY122" s="69"/>
      <c r="GZZ122" s="69"/>
      <c r="HAA122" s="69"/>
      <c r="HAB122" s="69"/>
      <c r="HAC122" s="69"/>
      <c r="HAD122" s="69"/>
      <c r="HAE122" s="69"/>
      <c r="HAF122" s="69"/>
      <c r="HAG122" s="69"/>
      <c r="HAH122" s="69"/>
      <c r="HAI122" s="69"/>
      <c r="HAJ122" s="69"/>
      <c r="HAK122" s="69"/>
      <c r="HAL122" s="69"/>
      <c r="HAM122" s="69"/>
      <c r="HAN122" s="69"/>
      <c r="HAO122" s="69"/>
      <c r="HAP122" s="69"/>
      <c r="HAQ122" s="69"/>
      <c r="HAR122" s="69"/>
      <c r="HAS122" s="69"/>
      <c r="HAT122" s="69"/>
      <c r="HAU122" s="69"/>
      <c r="HAV122" s="69"/>
      <c r="HAW122" s="69"/>
      <c r="HAX122" s="69"/>
      <c r="HAY122" s="69"/>
      <c r="HAZ122" s="69"/>
      <c r="HBA122" s="69"/>
      <c r="HBB122" s="69"/>
      <c r="HBC122" s="69"/>
      <c r="HBD122" s="69"/>
      <c r="HBE122" s="69"/>
      <c r="HBF122" s="69"/>
      <c r="HBG122" s="69"/>
      <c r="HBH122" s="69"/>
      <c r="HBI122" s="69"/>
      <c r="HBJ122" s="69"/>
      <c r="HBK122" s="69"/>
      <c r="HBL122" s="69"/>
      <c r="HBM122" s="69"/>
      <c r="HBN122" s="69"/>
      <c r="HBO122" s="69"/>
      <c r="HBP122" s="69"/>
      <c r="HBQ122" s="69"/>
      <c r="HBR122" s="69"/>
      <c r="HBS122" s="69"/>
      <c r="HBT122" s="69"/>
      <c r="HBU122" s="69"/>
      <c r="HBV122" s="69"/>
      <c r="HBW122" s="69"/>
      <c r="HBX122" s="69"/>
      <c r="HBY122" s="69"/>
      <c r="HBZ122" s="69"/>
      <c r="HCA122" s="69"/>
      <c r="HCB122" s="69"/>
      <c r="HCC122" s="69"/>
      <c r="HCD122" s="69"/>
      <c r="HCE122" s="69"/>
      <c r="HCF122" s="69"/>
      <c r="HCG122" s="69"/>
      <c r="HCH122" s="69"/>
      <c r="HCI122" s="69"/>
      <c r="HCJ122" s="69"/>
      <c r="HCK122" s="69"/>
      <c r="HCL122" s="69"/>
      <c r="HCM122" s="69"/>
      <c r="HCN122" s="69"/>
      <c r="HCO122" s="69"/>
      <c r="HCP122" s="69"/>
      <c r="HCQ122" s="69"/>
      <c r="HCR122" s="69"/>
      <c r="HCS122" s="69"/>
      <c r="HCT122" s="69"/>
      <c r="HCU122" s="69"/>
      <c r="HCV122" s="69"/>
      <c r="HCW122" s="69"/>
      <c r="HCX122" s="69"/>
      <c r="HCY122" s="69"/>
      <c r="HCZ122" s="69"/>
      <c r="HDA122" s="69"/>
      <c r="HDB122" s="69"/>
      <c r="HDC122" s="69"/>
      <c r="HDD122" s="69"/>
      <c r="HDE122" s="69"/>
      <c r="HDF122" s="69"/>
      <c r="HDG122" s="69"/>
      <c r="HDH122" s="69"/>
      <c r="HDI122" s="69"/>
      <c r="HDJ122" s="69"/>
      <c r="HDK122" s="69"/>
      <c r="HDL122" s="69"/>
      <c r="HDM122" s="69"/>
      <c r="HDN122" s="69"/>
      <c r="HDO122" s="69"/>
      <c r="HDP122" s="69"/>
      <c r="HDQ122" s="69"/>
      <c r="HDR122" s="69"/>
      <c r="HDS122" s="69"/>
      <c r="HDT122" s="69"/>
      <c r="HDU122" s="69"/>
      <c r="HDV122" s="69"/>
      <c r="HDW122" s="69"/>
      <c r="HDX122" s="69"/>
      <c r="HDY122" s="69"/>
      <c r="HDZ122" s="69"/>
      <c r="HEA122" s="69"/>
      <c r="HEB122" s="69"/>
      <c r="HEC122" s="69"/>
      <c r="HED122" s="69"/>
      <c r="HEE122" s="69"/>
      <c r="HEF122" s="69"/>
      <c r="HEG122" s="69"/>
      <c r="HEH122" s="69"/>
      <c r="HEI122" s="69"/>
      <c r="HEJ122" s="69"/>
      <c r="HEK122" s="69"/>
      <c r="HEL122" s="69"/>
      <c r="HEM122" s="69"/>
      <c r="HEN122" s="69"/>
      <c r="HEO122" s="69"/>
      <c r="HEP122" s="69"/>
      <c r="HEQ122" s="69"/>
      <c r="HER122" s="69"/>
      <c r="HES122" s="69"/>
      <c r="HET122" s="69"/>
      <c r="HEU122" s="69"/>
      <c r="HEV122" s="69"/>
      <c r="HEW122" s="69"/>
      <c r="HEX122" s="69"/>
      <c r="HEY122" s="69"/>
      <c r="HEZ122" s="69"/>
      <c r="HFA122" s="69"/>
      <c r="HFB122" s="69"/>
      <c r="HFC122" s="69"/>
      <c r="HFD122" s="69"/>
      <c r="HFE122" s="69"/>
      <c r="HFF122" s="69"/>
      <c r="HFG122" s="69"/>
      <c r="HFH122" s="69"/>
      <c r="HFI122" s="69"/>
      <c r="HFJ122" s="69"/>
      <c r="HFK122" s="69"/>
      <c r="HFL122" s="69"/>
      <c r="HFM122" s="69"/>
      <c r="HFN122" s="69"/>
      <c r="HFO122" s="69"/>
      <c r="HFP122" s="69"/>
      <c r="HFQ122" s="69"/>
      <c r="HFR122" s="69"/>
      <c r="HFS122" s="69"/>
      <c r="HFT122" s="69"/>
      <c r="HFU122" s="69"/>
      <c r="HFV122" s="69"/>
      <c r="HFW122" s="69"/>
      <c r="HFX122" s="69"/>
      <c r="HFY122" s="69"/>
      <c r="HFZ122" s="69"/>
      <c r="HGA122" s="69"/>
      <c r="HGB122" s="69"/>
      <c r="HGC122" s="69"/>
      <c r="HGD122" s="69"/>
      <c r="HGE122" s="69"/>
      <c r="HGF122" s="69"/>
      <c r="HGG122" s="69"/>
      <c r="HGH122" s="69"/>
      <c r="HGI122" s="69"/>
      <c r="HGJ122" s="69"/>
      <c r="HGK122" s="69"/>
      <c r="HGL122" s="69"/>
      <c r="HGM122" s="69"/>
      <c r="HGN122" s="69"/>
      <c r="HGO122" s="69"/>
      <c r="HGP122" s="69"/>
      <c r="HGQ122" s="69"/>
      <c r="HGR122" s="69"/>
      <c r="HGS122" s="69"/>
      <c r="HGT122" s="69"/>
      <c r="HGU122" s="69"/>
      <c r="HGV122" s="69"/>
      <c r="HGW122" s="69"/>
      <c r="HGX122" s="69"/>
      <c r="HGY122" s="69"/>
      <c r="HGZ122" s="69"/>
      <c r="HHA122" s="69"/>
      <c r="HHB122" s="69"/>
      <c r="HHC122" s="69"/>
      <c r="HHD122" s="69"/>
      <c r="HHE122" s="69"/>
      <c r="HHF122" s="69"/>
      <c r="HHG122" s="69"/>
      <c r="HHH122" s="69"/>
      <c r="HHI122" s="69"/>
      <c r="HHJ122" s="69"/>
      <c r="HHK122" s="69"/>
      <c r="HHL122" s="69"/>
      <c r="HHM122" s="69"/>
      <c r="HHN122" s="69"/>
      <c r="HHO122" s="69"/>
      <c r="HHP122" s="69"/>
      <c r="HHQ122" s="69"/>
      <c r="HHR122" s="69"/>
      <c r="HHS122" s="69"/>
      <c r="HHT122" s="69"/>
      <c r="HHU122" s="69"/>
      <c r="HHV122" s="69"/>
      <c r="HHW122" s="69"/>
      <c r="HHX122" s="69"/>
      <c r="HHY122" s="69"/>
      <c r="HHZ122" s="69"/>
      <c r="HIA122" s="69"/>
      <c r="HIB122" s="69"/>
      <c r="HIC122" s="69"/>
      <c r="HID122" s="69"/>
      <c r="HIE122" s="69"/>
      <c r="HIF122" s="69"/>
      <c r="HIG122" s="69"/>
      <c r="HIH122" s="69"/>
      <c r="HII122" s="69"/>
      <c r="HIJ122" s="69"/>
      <c r="HIK122" s="69"/>
      <c r="HIL122" s="69"/>
      <c r="HIM122" s="69"/>
      <c r="HIN122" s="69"/>
      <c r="HIO122" s="69"/>
      <c r="HIP122" s="69"/>
      <c r="HIQ122" s="69"/>
      <c r="HIR122" s="69"/>
      <c r="HIS122" s="69"/>
      <c r="HIT122" s="69"/>
      <c r="HIU122" s="69"/>
      <c r="HIV122" s="69"/>
      <c r="HIW122" s="69"/>
      <c r="HIX122" s="69"/>
      <c r="HIY122" s="69"/>
      <c r="HIZ122" s="69"/>
      <c r="HJA122" s="69"/>
      <c r="HJB122" s="69"/>
      <c r="HJC122" s="69"/>
      <c r="HJD122" s="69"/>
      <c r="HJE122" s="69"/>
      <c r="HJF122" s="69"/>
      <c r="HJG122" s="69"/>
      <c r="HJH122" s="69"/>
      <c r="HJI122" s="69"/>
      <c r="HJJ122" s="69"/>
      <c r="HJK122" s="69"/>
      <c r="HJL122" s="69"/>
      <c r="HJM122" s="69"/>
      <c r="HJN122" s="69"/>
      <c r="HJO122" s="69"/>
      <c r="HJP122" s="69"/>
      <c r="HJQ122" s="69"/>
      <c r="HJR122" s="69"/>
      <c r="HJS122" s="69"/>
      <c r="HJT122" s="69"/>
      <c r="HJU122" s="69"/>
      <c r="HJV122" s="69"/>
      <c r="HJW122" s="69"/>
      <c r="HJX122" s="69"/>
      <c r="HJY122" s="69"/>
      <c r="HJZ122" s="69"/>
      <c r="HKA122" s="69"/>
      <c r="HKB122" s="69"/>
      <c r="HKC122" s="69"/>
      <c r="HKD122" s="69"/>
      <c r="HKE122" s="69"/>
      <c r="HKF122" s="69"/>
      <c r="HKG122" s="69"/>
      <c r="HKH122" s="69"/>
      <c r="HKI122" s="69"/>
      <c r="HKJ122" s="69"/>
      <c r="HKK122" s="69"/>
      <c r="HKL122" s="69"/>
      <c r="HKM122" s="69"/>
      <c r="HKN122" s="69"/>
      <c r="HKO122" s="69"/>
      <c r="HKP122" s="69"/>
      <c r="HKQ122" s="69"/>
      <c r="HKR122" s="69"/>
      <c r="HKS122" s="69"/>
      <c r="HKT122" s="69"/>
      <c r="HKU122" s="69"/>
      <c r="HKV122" s="69"/>
      <c r="HKW122" s="69"/>
      <c r="HKX122" s="69"/>
      <c r="HKY122" s="69"/>
      <c r="HKZ122" s="69"/>
      <c r="HLA122" s="69"/>
      <c r="HLB122" s="69"/>
      <c r="HLC122" s="69"/>
      <c r="HLD122" s="69"/>
      <c r="HLE122" s="69"/>
      <c r="HLF122" s="69"/>
      <c r="HLG122" s="69"/>
      <c r="HLH122" s="69"/>
      <c r="HLI122" s="69"/>
      <c r="HLJ122" s="69"/>
      <c r="HLK122" s="69"/>
      <c r="HLL122" s="69"/>
      <c r="HLM122" s="69"/>
      <c r="HLN122" s="69"/>
      <c r="HLO122" s="69"/>
      <c r="HLP122" s="69"/>
      <c r="HLQ122" s="69"/>
      <c r="HLR122" s="69"/>
      <c r="HLS122" s="69"/>
      <c r="HLT122" s="69"/>
      <c r="HLU122" s="69"/>
      <c r="HLV122" s="69"/>
      <c r="HLW122" s="69"/>
      <c r="HLX122" s="69"/>
      <c r="HLY122" s="69"/>
      <c r="HLZ122" s="69"/>
      <c r="HMA122" s="69"/>
      <c r="HMB122" s="69"/>
      <c r="HMC122" s="69"/>
      <c r="HMD122" s="69"/>
      <c r="HME122" s="69"/>
      <c r="HMF122" s="69"/>
      <c r="HMG122" s="69"/>
      <c r="HMH122" s="69"/>
      <c r="HMI122" s="69"/>
      <c r="HMJ122" s="69"/>
      <c r="HMK122" s="69"/>
      <c r="HML122" s="69"/>
      <c r="HMM122" s="69"/>
      <c r="HMN122" s="69"/>
      <c r="HMO122" s="69"/>
      <c r="HMP122" s="69"/>
      <c r="HMQ122" s="69"/>
      <c r="HMR122" s="69"/>
      <c r="HMS122" s="69"/>
      <c r="HMT122" s="69"/>
      <c r="HMU122" s="69"/>
      <c r="HMV122" s="69"/>
      <c r="HMW122" s="69"/>
      <c r="HMX122" s="69"/>
      <c r="HMY122" s="69"/>
      <c r="HMZ122" s="69"/>
      <c r="HNA122" s="69"/>
      <c r="HNB122" s="69"/>
      <c r="HNC122" s="69"/>
      <c r="HND122" s="69"/>
      <c r="HNE122" s="69"/>
      <c r="HNF122" s="69"/>
      <c r="HNG122" s="69"/>
      <c r="HNH122" s="69"/>
      <c r="HNI122" s="69"/>
      <c r="HNJ122" s="69"/>
      <c r="HNK122" s="69"/>
      <c r="HNL122" s="69"/>
      <c r="HNM122" s="69"/>
      <c r="HNN122" s="69"/>
      <c r="HNO122" s="69"/>
      <c r="HNP122" s="69"/>
      <c r="HNQ122" s="69"/>
      <c r="HNR122" s="69"/>
      <c r="HNS122" s="69"/>
      <c r="HNT122" s="69"/>
      <c r="HNU122" s="69"/>
      <c r="HNV122" s="69"/>
      <c r="HNW122" s="69"/>
      <c r="HNX122" s="69"/>
      <c r="HNY122" s="69"/>
      <c r="HNZ122" s="69"/>
      <c r="HOA122" s="69"/>
      <c r="HOB122" s="69"/>
      <c r="HOC122" s="69"/>
      <c r="HOD122" s="69"/>
      <c r="HOE122" s="69"/>
      <c r="HOF122" s="69"/>
      <c r="HOG122" s="69"/>
      <c r="HOH122" s="69"/>
      <c r="HOI122" s="69"/>
      <c r="HOJ122" s="69"/>
      <c r="HOK122" s="69"/>
      <c r="HOL122" s="69"/>
      <c r="HOM122" s="69"/>
      <c r="HON122" s="69"/>
      <c r="HOO122" s="69"/>
      <c r="HOP122" s="69"/>
      <c r="HOQ122" s="69"/>
      <c r="HOR122" s="69"/>
      <c r="HOS122" s="69"/>
      <c r="HOT122" s="69"/>
      <c r="HOU122" s="69"/>
      <c r="HOV122" s="69"/>
      <c r="HOW122" s="69"/>
      <c r="HOX122" s="69"/>
      <c r="HOY122" s="69"/>
      <c r="HOZ122" s="69"/>
      <c r="HPA122" s="69"/>
      <c r="HPB122" s="69"/>
      <c r="HPC122" s="69"/>
      <c r="HPD122" s="69"/>
      <c r="HPE122" s="69"/>
      <c r="HPF122" s="69"/>
      <c r="HPG122" s="69"/>
      <c r="HPH122" s="69"/>
      <c r="HPI122" s="69"/>
      <c r="HPJ122" s="69"/>
      <c r="HPK122" s="69"/>
      <c r="HPL122" s="69"/>
      <c r="HPM122" s="69"/>
      <c r="HPN122" s="69"/>
      <c r="HPO122" s="69"/>
      <c r="HPP122" s="69"/>
      <c r="HPQ122" s="69"/>
      <c r="HPR122" s="69"/>
      <c r="HPS122" s="69"/>
      <c r="HPT122" s="69"/>
      <c r="HPU122" s="69"/>
      <c r="HPV122" s="69"/>
      <c r="HPW122" s="69"/>
      <c r="HPX122" s="69"/>
      <c r="HPY122" s="69"/>
      <c r="HPZ122" s="69"/>
      <c r="HQA122" s="69"/>
      <c r="HQB122" s="69"/>
      <c r="HQC122" s="69"/>
      <c r="HQD122" s="69"/>
      <c r="HQE122" s="69"/>
      <c r="HQF122" s="69"/>
      <c r="HQG122" s="69"/>
      <c r="HQH122" s="69"/>
      <c r="HQI122" s="69"/>
      <c r="HQJ122" s="69"/>
      <c r="HQK122" s="69"/>
      <c r="HQL122" s="69"/>
      <c r="HQM122" s="69"/>
      <c r="HQN122" s="69"/>
      <c r="HQO122" s="69"/>
      <c r="HQP122" s="69"/>
      <c r="HQQ122" s="69"/>
      <c r="HQR122" s="69"/>
      <c r="HQS122" s="69"/>
      <c r="HQT122" s="69"/>
      <c r="HQU122" s="69"/>
      <c r="HQV122" s="69"/>
      <c r="HQW122" s="69"/>
      <c r="HQX122" s="69"/>
      <c r="HQY122" s="69"/>
      <c r="HQZ122" s="69"/>
      <c r="HRA122" s="69"/>
      <c r="HRB122" s="69"/>
      <c r="HRC122" s="69"/>
      <c r="HRD122" s="69"/>
      <c r="HRE122" s="69"/>
      <c r="HRF122" s="69"/>
      <c r="HRG122" s="69"/>
      <c r="HRH122" s="69"/>
      <c r="HRI122" s="69"/>
      <c r="HRJ122" s="69"/>
      <c r="HRK122" s="69"/>
      <c r="HRL122" s="69"/>
      <c r="HRM122" s="69"/>
      <c r="HRN122" s="69"/>
      <c r="HRO122" s="69"/>
      <c r="HRP122" s="69"/>
      <c r="HRQ122" s="69"/>
      <c r="HRR122" s="69"/>
      <c r="HRS122" s="69"/>
      <c r="HRT122" s="69"/>
      <c r="HRU122" s="69"/>
      <c r="HRV122" s="69"/>
      <c r="HRW122" s="69"/>
      <c r="HRX122" s="69"/>
      <c r="HRY122" s="69"/>
      <c r="HRZ122" s="69"/>
      <c r="HSA122" s="69"/>
      <c r="HSB122" s="69"/>
      <c r="HSC122" s="69"/>
      <c r="HSD122" s="69"/>
      <c r="HSE122" s="69"/>
      <c r="HSF122" s="69"/>
      <c r="HSG122" s="69"/>
      <c r="HSH122" s="69"/>
      <c r="HSI122" s="69"/>
      <c r="HSJ122" s="69"/>
      <c r="HSK122" s="69"/>
      <c r="HSL122" s="69"/>
      <c r="HSM122" s="69"/>
      <c r="HSN122" s="69"/>
      <c r="HSO122" s="69"/>
      <c r="HSP122" s="69"/>
      <c r="HSQ122" s="69"/>
      <c r="HSR122" s="69"/>
      <c r="HSS122" s="69"/>
      <c r="HST122" s="69"/>
      <c r="HSU122" s="69"/>
      <c r="HSV122" s="69"/>
      <c r="HSW122" s="69"/>
      <c r="HSX122" s="69"/>
      <c r="HSY122" s="69"/>
      <c r="HSZ122" s="69"/>
      <c r="HTA122" s="69"/>
      <c r="HTB122" s="69"/>
      <c r="HTC122" s="69"/>
      <c r="HTD122" s="69"/>
      <c r="HTE122" s="69"/>
      <c r="HTF122" s="69"/>
      <c r="HTG122" s="69"/>
      <c r="HTH122" s="69"/>
      <c r="HTI122" s="69"/>
      <c r="HTJ122" s="69"/>
      <c r="HTK122" s="69"/>
      <c r="HTL122" s="69"/>
      <c r="HTM122" s="69"/>
      <c r="HTN122" s="69"/>
      <c r="HTO122" s="69"/>
      <c r="HTP122" s="69"/>
      <c r="HTQ122" s="69"/>
      <c r="HTR122" s="69"/>
      <c r="HTS122" s="69"/>
      <c r="HTT122" s="69"/>
      <c r="HTU122" s="69"/>
      <c r="HTV122" s="69"/>
      <c r="HTW122" s="69"/>
      <c r="HTX122" s="69"/>
      <c r="HTY122" s="69"/>
      <c r="HTZ122" s="69"/>
      <c r="HUA122" s="69"/>
      <c r="HUB122" s="69"/>
      <c r="HUC122" s="69"/>
      <c r="HUD122" s="69"/>
      <c r="HUE122" s="69"/>
      <c r="HUF122" s="69"/>
      <c r="HUG122" s="69"/>
      <c r="HUH122" s="69"/>
      <c r="HUI122" s="69"/>
      <c r="HUJ122" s="69"/>
      <c r="HUK122" s="69"/>
      <c r="HUL122" s="69"/>
      <c r="HUM122" s="69"/>
      <c r="HUN122" s="69"/>
      <c r="HUO122" s="69"/>
      <c r="HUP122" s="69"/>
      <c r="HUQ122" s="69"/>
      <c r="HUR122" s="69"/>
      <c r="HUS122" s="69"/>
      <c r="HUT122" s="69"/>
      <c r="HUU122" s="69"/>
      <c r="HUV122" s="69"/>
      <c r="HUW122" s="69"/>
      <c r="HUX122" s="69"/>
      <c r="HUY122" s="69"/>
      <c r="HUZ122" s="69"/>
      <c r="HVA122" s="69"/>
      <c r="HVB122" s="69"/>
      <c r="HVC122" s="69"/>
      <c r="HVD122" s="69"/>
      <c r="HVE122" s="69"/>
      <c r="HVF122" s="69"/>
      <c r="HVG122" s="69"/>
      <c r="HVH122" s="69"/>
      <c r="HVI122" s="69"/>
      <c r="HVJ122" s="69"/>
      <c r="HVK122" s="69"/>
      <c r="HVL122" s="69"/>
      <c r="HVM122" s="69"/>
      <c r="HVN122" s="69"/>
      <c r="HVO122" s="69"/>
      <c r="HVP122" s="69"/>
      <c r="HVQ122" s="69"/>
      <c r="HVR122" s="69"/>
      <c r="HVS122" s="69"/>
      <c r="HVT122" s="69"/>
      <c r="HVU122" s="69"/>
      <c r="HVV122" s="69"/>
      <c r="HVW122" s="69"/>
      <c r="HVX122" s="69"/>
      <c r="HVY122" s="69"/>
      <c r="HVZ122" s="69"/>
      <c r="HWA122" s="69"/>
      <c r="HWB122" s="69"/>
      <c r="HWC122" s="69"/>
      <c r="HWD122" s="69"/>
      <c r="HWE122" s="69"/>
      <c r="HWF122" s="69"/>
      <c r="HWG122" s="69"/>
      <c r="HWH122" s="69"/>
      <c r="HWI122" s="69"/>
      <c r="HWJ122" s="69"/>
      <c r="HWK122" s="69"/>
      <c r="HWL122" s="69"/>
      <c r="HWM122" s="69"/>
      <c r="HWN122" s="69"/>
      <c r="HWO122" s="69"/>
      <c r="HWP122" s="69"/>
      <c r="HWQ122" s="69"/>
      <c r="HWR122" s="69"/>
      <c r="HWS122" s="69"/>
      <c r="HWT122" s="69"/>
      <c r="HWU122" s="69"/>
      <c r="HWV122" s="69"/>
      <c r="HWW122" s="69"/>
      <c r="HWX122" s="69"/>
      <c r="HWY122" s="69"/>
      <c r="HWZ122" s="69"/>
      <c r="HXA122" s="69"/>
      <c r="HXB122" s="69"/>
      <c r="HXC122" s="69"/>
      <c r="HXD122" s="69"/>
      <c r="HXE122" s="69"/>
      <c r="HXF122" s="69"/>
      <c r="HXG122" s="69"/>
      <c r="HXH122" s="69"/>
      <c r="HXI122" s="69"/>
      <c r="HXJ122" s="69"/>
      <c r="HXK122" s="69"/>
      <c r="HXL122" s="69"/>
      <c r="HXM122" s="69"/>
      <c r="HXN122" s="69"/>
      <c r="HXO122" s="69"/>
      <c r="HXP122" s="69"/>
      <c r="HXQ122" s="69"/>
      <c r="HXR122" s="69"/>
      <c r="HXS122" s="69"/>
      <c r="HXT122" s="69"/>
      <c r="HXU122" s="69"/>
      <c r="HXV122" s="69"/>
      <c r="HXW122" s="69"/>
      <c r="HXX122" s="69"/>
      <c r="HXY122" s="69"/>
      <c r="HXZ122" s="69"/>
      <c r="HYA122" s="69"/>
      <c r="HYB122" s="69"/>
      <c r="HYC122" s="69"/>
      <c r="HYD122" s="69"/>
      <c r="HYE122" s="69"/>
      <c r="HYF122" s="69"/>
      <c r="HYG122" s="69"/>
      <c r="HYH122" s="69"/>
      <c r="HYI122" s="69"/>
      <c r="HYJ122" s="69"/>
      <c r="HYK122" s="69"/>
      <c r="HYL122" s="69"/>
      <c r="HYM122" s="69"/>
      <c r="HYN122" s="69"/>
      <c r="HYO122" s="69"/>
      <c r="HYP122" s="69"/>
      <c r="HYQ122" s="69"/>
      <c r="HYR122" s="69"/>
      <c r="HYS122" s="69"/>
      <c r="HYT122" s="69"/>
      <c r="HYU122" s="69"/>
      <c r="HYV122" s="69"/>
      <c r="HYW122" s="69"/>
      <c r="HYX122" s="69"/>
      <c r="HYY122" s="69"/>
      <c r="HYZ122" s="69"/>
      <c r="HZA122" s="69"/>
      <c r="HZB122" s="69"/>
      <c r="HZC122" s="69"/>
      <c r="HZD122" s="69"/>
      <c r="HZE122" s="69"/>
      <c r="HZF122" s="69"/>
      <c r="HZG122" s="69"/>
      <c r="HZH122" s="69"/>
      <c r="HZI122" s="69"/>
      <c r="HZJ122" s="69"/>
      <c r="HZK122" s="69"/>
      <c r="HZL122" s="69"/>
      <c r="HZM122" s="69"/>
      <c r="HZN122" s="69"/>
      <c r="HZO122" s="69"/>
      <c r="HZP122" s="69"/>
      <c r="HZQ122" s="69"/>
      <c r="HZR122" s="69"/>
      <c r="HZS122" s="69"/>
      <c r="HZT122" s="69"/>
      <c r="HZU122" s="69"/>
      <c r="HZV122" s="69"/>
      <c r="HZW122" s="69"/>
      <c r="HZX122" s="69"/>
      <c r="HZY122" s="69"/>
      <c r="HZZ122" s="69"/>
      <c r="IAA122" s="69"/>
      <c r="IAB122" s="69"/>
      <c r="IAC122" s="69"/>
      <c r="IAD122" s="69"/>
      <c r="IAE122" s="69"/>
      <c r="IAF122" s="69"/>
      <c r="IAG122" s="69"/>
      <c r="IAH122" s="69"/>
      <c r="IAI122" s="69"/>
      <c r="IAJ122" s="69"/>
      <c r="IAK122" s="69"/>
      <c r="IAL122" s="69"/>
      <c r="IAM122" s="69"/>
      <c r="IAN122" s="69"/>
      <c r="IAO122" s="69"/>
      <c r="IAP122" s="69"/>
      <c r="IAQ122" s="69"/>
      <c r="IAR122" s="69"/>
      <c r="IAS122" s="69"/>
      <c r="IAT122" s="69"/>
      <c r="IAU122" s="69"/>
      <c r="IAV122" s="69"/>
      <c r="IAW122" s="69"/>
      <c r="IAX122" s="69"/>
      <c r="IAY122" s="69"/>
      <c r="IAZ122" s="69"/>
      <c r="IBA122" s="69"/>
      <c r="IBB122" s="69"/>
      <c r="IBC122" s="69"/>
      <c r="IBD122" s="69"/>
      <c r="IBE122" s="69"/>
      <c r="IBF122" s="69"/>
      <c r="IBG122" s="69"/>
      <c r="IBH122" s="69"/>
      <c r="IBI122" s="69"/>
      <c r="IBJ122" s="69"/>
      <c r="IBK122" s="69"/>
      <c r="IBL122" s="69"/>
      <c r="IBM122" s="69"/>
      <c r="IBN122" s="69"/>
      <c r="IBO122" s="69"/>
      <c r="IBP122" s="69"/>
      <c r="IBQ122" s="69"/>
      <c r="IBR122" s="69"/>
      <c r="IBS122" s="69"/>
      <c r="IBT122" s="69"/>
      <c r="IBU122" s="69"/>
      <c r="IBV122" s="69"/>
      <c r="IBW122" s="69"/>
      <c r="IBX122" s="69"/>
      <c r="IBY122" s="69"/>
      <c r="IBZ122" s="69"/>
      <c r="ICA122" s="69"/>
      <c r="ICB122" s="69"/>
      <c r="ICC122" s="69"/>
      <c r="ICD122" s="69"/>
      <c r="ICE122" s="69"/>
      <c r="ICF122" s="69"/>
      <c r="ICG122" s="69"/>
      <c r="ICH122" s="69"/>
      <c r="ICI122" s="69"/>
      <c r="ICJ122" s="69"/>
      <c r="ICK122" s="69"/>
      <c r="ICL122" s="69"/>
      <c r="ICM122" s="69"/>
      <c r="ICN122" s="69"/>
      <c r="ICO122" s="69"/>
      <c r="ICP122" s="69"/>
      <c r="ICQ122" s="69"/>
      <c r="ICR122" s="69"/>
      <c r="ICS122" s="69"/>
      <c r="ICT122" s="69"/>
      <c r="ICU122" s="69"/>
      <c r="ICV122" s="69"/>
      <c r="ICW122" s="69"/>
      <c r="ICX122" s="69"/>
      <c r="ICY122" s="69"/>
      <c r="ICZ122" s="69"/>
      <c r="IDA122" s="69"/>
      <c r="IDB122" s="69"/>
      <c r="IDC122" s="69"/>
      <c r="IDD122" s="69"/>
      <c r="IDE122" s="69"/>
      <c r="IDF122" s="69"/>
      <c r="IDG122" s="69"/>
      <c r="IDH122" s="69"/>
      <c r="IDI122" s="69"/>
      <c r="IDJ122" s="69"/>
      <c r="IDK122" s="69"/>
      <c r="IDL122" s="69"/>
      <c r="IDM122" s="69"/>
      <c r="IDN122" s="69"/>
      <c r="IDO122" s="69"/>
      <c r="IDP122" s="69"/>
      <c r="IDQ122" s="69"/>
      <c r="IDR122" s="69"/>
      <c r="IDS122" s="69"/>
      <c r="IDT122" s="69"/>
      <c r="IDU122" s="69"/>
      <c r="IDV122" s="69"/>
      <c r="IDW122" s="69"/>
      <c r="IDX122" s="69"/>
      <c r="IDY122" s="69"/>
      <c r="IDZ122" s="69"/>
      <c r="IEA122" s="69"/>
      <c r="IEB122" s="69"/>
      <c r="IEC122" s="69"/>
      <c r="IED122" s="69"/>
      <c r="IEE122" s="69"/>
      <c r="IEF122" s="69"/>
      <c r="IEG122" s="69"/>
      <c r="IEH122" s="69"/>
      <c r="IEI122" s="69"/>
      <c r="IEJ122" s="69"/>
      <c r="IEK122" s="69"/>
      <c r="IEL122" s="69"/>
      <c r="IEM122" s="69"/>
      <c r="IEN122" s="69"/>
      <c r="IEO122" s="69"/>
      <c r="IEP122" s="69"/>
      <c r="IEQ122" s="69"/>
      <c r="IER122" s="69"/>
      <c r="IES122" s="69"/>
      <c r="IET122" s="69"/>
      <c r="IEU122" s="69"/>
      <c r="IEV122" s="69"/>
      <c r="IEW122" s="69"/>
      <c r="IEX122" s="69"/>
      <c r="IEY122" s="69"/>
      <c r="IEZ122" s="69"/>
      <c r="IFA122" s="69"/>
      <c r="IFB122" s="69"/>
      <c r="IFC122" s="69"/>
      <c r="IFD122" s="69"/>
      <c r="IFE122" s="69"/>
      <c r="IFF122" s="69"/>
      <c r="IFG122" s="69"/>
      <c r="IFH122" s="69"/>
      <c r="IFI122" s="69"/>
      <c r="IFJ122" s="69"/>
      <c r="IFK122" s="69"/>
      <c r="IFL122" s="69"/>
      <c r="IFM122" s="69"/>
      <c r="IFN122" s="69"/>
      <c r="IFO122" s="69"/>
      <c r="IFP122" s="69"/>
      <c r="IFQ122" s="69"/>
      <c r="IFR122" s="69"/>
      <c r="IFS122" s="69"/>
      <c r="IFT122" s="69"/>
      <c r="IFU122" s="69"/>
      <c r="IFV122" s="69"/>
      <c r="IFW122" s="69"/>
      <c r="IFX122" s="69"/>
      <c r="IFY122" s="69"/>
      <c r="IFZ122" s="69"/>
      <c r="IGA122" s="69"/>
      <c r="IGB122" s="69"/>
      <c r="IGC122" s="69"/>
      <c r="IGD122" s="69"/>
      <c r="IGE122" s="69"/>
      <c r="IGF122" s="69"/>
      <c r="IGG122" s="69"/>
      <c r="IGH122" s="69"/>
      <c r="IGI122" s="69"/>
      <c r="IGJ122" s="69"/>
      <c r="IGK122" s="69"/>
      <c r="IGL122" s="69"/>
      <c r="IGM122" s="69"/>
      <c r="IGN122" s="69"/>
      <c r="IGO122" s="69"/>
      <c r="IGP122" s="69"/>
      <c r="IGQ122" s="69"/>
      <c r="IGR122" s="69"/>
      <c r="IGS122" s="69"/>
      <c r="IGT122" s="69"/>
      <c r="IGU122" s="69"/>
      <c r="IGV122" s="69"/>
      <c r="IGW122" s="69"/>
      <c r="IGX122" s="69"/>
      <c r="IGY122" s="69"/>
      <c r="IGZ122" s="69"/>
      <c r="IHA122" s="69"/>
      <c r="IHB122" s="69"/>
      <c r="IHC122" s="69"/>
      <c r="IHD122" s="69"/>
      <c r="IHE122" s="69"/>
      <c r="IHF122" s="69"/>
      <c r="IHG122" s="69"/>
      <c r="IHH122" s="69"/>
      <c r="IHI122" s="69"/>
      <c r="IHJ122" s="69"/>
      <c r="IHK122" s="69"/>
      <c r="IHL122" s="69"/>
      <c r="IHM122" s="69"/>
      <c r="IHN122" s="69"/>
      <c r="IHO122" s="69"/>
      <c r="IHP122" s="69"/>
      <c r="IHQ122" s="69"/>
      <c r="IHR122" s="69"/>
      <c r="IHS122" s="69"/>
      <c r="IHT122" s="69"/>
      <c r="IHU122" s="69"/>
      <c r="IHV122" s="69"/>
      <c r="IHW122" s="69"/>
      <c r="IHX122" s="69"/>
      <c r="IHY122" s="69"/>
      <c r="IHZ122" s="69"/>
      <c r="IIA122" s="69"/>
      <c r="IIB122" s="69"/>
      <c r="IIC122" s="69"/>
      <c r="IID122" s="69"/>
      <c r="IIE122" s="69"/>
      <c r="IIF122" s="69"/>
      <c r="IIG122" s="69"/>
      <c r="IIH122" s="69"/>
      <c r="III122" s="69"/>
      <c r="IIJ122" s="69"/>
      <c r="IIK122" s="69"/>
      <c r="IIL122" s="69"/>
      <c r="IIM122" s="69"/>
      <c r="IIN122" s="69"/>
      <c r="IIO122" s="69"/>
      <c r="IIP122" s="69"/>
      <c r="IIQ122" s="69"/>
      <c r="IIR122" s="69"/>
      <c r="IIS122" s="69"/>
      <c r="IIT122" s="69"/>
      <c r="IIU122" s="69"/>
      <c r="IIV122" s="69"/>
      <c r="IIW122" s="69"/>
      <c r="IIX122" s="69"/>
      <c r="IIY122" s="69"/>
      <c r="IIZ122" s="69"/>
      <c r="IJA122" s="69"/>
      <c r="IJB122" s="69"/>
      <c r="IJC122" s="69"/>
      <c r="IJD122" s="69"/>
      <c r="IJE122" s="69"/>
      <c r="IJF122" s="69"/>
      <c r="IJG122" s="69"/>
      <c r="IJH122" s="69"/>
      <c r="IJI122" s="69"/>
      <c r="IJJ122" s="69"/>
      <c r="IJK122" s="69"/>
      <c r="IJL122" s="69"/>
      <c r="IJM122" s="69"/>
      <c r="IJN122" s="69"/>
      <c r="IJO122" s="69"/>
      <c r="IJP122" s="69"/>
      <c r="IJQ122" s="69"/>
      <c r="IJR122" s="69"/>
      <c r="IJS122" s="69"/>
      <c r="IJT122" s="69"/>
      <c r="IJU122" s="69"/>
      <c r="IJV122" s="69"/>
      <c r="IJW122" s="69"/>
      <c r="IJX122" s="69"/>
      <c r="IJY122" s="69"/>
      <c r="IJZ122" s="69"/>
      <c r="IKA122" s="69"/>
      <c r="IKB122" s="69"/>
      <c r="IKC122" s="69"/>
      <c r="IKD122" s="69"/>
      <c r="IKE122" s="69"/>
      <c r="IKF122" s="69"/>
      <c r="IKG122" s="69"/>
      <c r="IKH122" s="69"/>
      <c r="IKI122" s="69"/>
      <c r="IKJ122" s="69"/>
      <c r="IKK122" s="69"/>
      <c r="IKL122" s="69"/>
      <c r="IKM122" s="69"/>
      <c r="IKN122" s="69"/>
      <c r="IKO122" s="69"/>
      <c r="IKP122" s="69"/>
      <c r="IKQ122" s="69"/>
      <c r="IKR122" s="69"/>
      <c r="IKS122" s="69"/>
      <c r="IKT122" s="69"/>
      <c r="IKU122" s="69"/>
      <c r="IKV122" s="69"/>
      <c r="IKW122" s="69"/>
      <c r="IKX122" s="69"/>
      <c r="IKY122" s="69"/>
      <c r="IKZ122" s="69"/>
      <c r="ILA122" s="69"/>
      <c r="ILB122" s="69"/>
      <c r="ILC122" s="69"/>
      <c r="ILD122" s="69"/>
      <c r="ILE122" s="69"/>
      <c r="ILF122" s="69"/>
      <c r="ILG122" s="69"/>
      <c r="ILH122" s="69"/>
      <c r="ILI122" s="69"/>
      <c r="ILJ122" s="69"/>
      <c r="ILK122" s="69"/>
      <c r="ILL122" s="69"/>
      <c r="ILM122" s="69"/>
      <c r="ILN122" s="69"/>
      <c r="ILO122" s="69"/>
      <c r="ILP122" s="69"/>
      <c r="ILQ122" s="69"/>
      <c r="ILR122" s="69"/>
      <c r="ILS122" s="69"/>
      <c r="ILT122" s="69"/>
      <c r="ILU122" s="69"/>
      <c r="ILV122" s="69"/>
      <c r="ILW122" s="69"/>
      <c r="ILX122" s="69"/>
      <c r="ILY122" s="69"/>
      <c r="ILZ122" s="69"/>
      <c r="IMA122" s="69"/>
      <c r="IMB122" s="69"/>
      <c r="IMC122" s="69"/>
      <c r="IMD122" s="69"/>
      <c r="IME122" s="69"/>
      <c r="IMF122" s="69"/>
      <c r="IMG122" s="69"/>
      <c r="IMH122" s="69"/>
      <c r="IMI122" s="69"/>
      <c r="IMJ122" s="69"/>
      <c r="IMK122" s="69"/>
      <c r="IML122" s="69"/>
      <c r="IMM122" s="69"/>
      <c r="IMN122" s="69"/>
      <c r="IMO122" s="69"/>
      <c r="IMP122" s="69"/>
      <c r="IMQ122" s="69"/>
      <c r="IMR122" s="69"/>
      <c r="IMS122" s="69"/>
      <c r="IMT122" s="69"/>
      <c r="IMU122" s="69"/>
      <c r="IMV122" s="69"/>
      <c r="IMW122" s="69"/>
      <c r="IMX122" s="69"/>
      <c r="IMY122" s="69"/>
      <c r="IMZ122" s="69"/>
      <c r="INA122" s="69"/>
      <c r="INB122" s="69"/>
      <c r="INC122" s="69"/>
      <c r="IND122" s="69"/>
      <c r="INE122" s="69"/>
      <c r="INF122" s="69"/>
      <c r="ING122" s="69"/>
      <c r="INH122" s="69"/>
      <c r="INI122" s="69"/>
      <c r="INJ122" s="69"/>
      <c r="INK122" s="69"/>
      <c r="INL122" s="69"/>
      <c r="INM122" s="69"/>
      <c r="INN122" s="69"/>
      <c r="INO122" s="69"/>
      <c r="INP122" s="69"/>
      <c r="INQ122" s="69"/>
      <c r="INR122" s="69"/>
      <c r="INS122" s="69"/>
      <c r="INT122" s="69"/>
      <c r="INU122" s="69"/>
      <c r="INV122" s="69"/>
      <c r="INW122" s="69"/>
      <c r="INX122" s="69"/>
      <c r="INY122" s="69"/>
      <c r="INZ122" s="69"/>
      <c r="IOA122" s="69"/>
      <c r="IOB122" s="69"/>
      <c r="IOC122" s="69"/>
      <c r="IOD122" s="69"/>
      <c r="IOE122" s="69"/>
      <c r="IOF122" s="69"/>
      <c r="IOG122" s="69"/>
      <c r="IOH122" s="69"/>
      <c r="IOI122" s="69"/>
      <c r="IOJ122" s="69"/>
      <c r="IOK122" s="69"/>
      <c r="IOL122" s="69"/>
      <c r="IOM122" s="69"/>
      <c r="ION122" s="69"/>
      <c r="IOO122" s="69"/>
      <c r="IOP122" s="69"/>
      <c r="IOQ122" s="69"/>
      <c r="IOR122" s="69"/>
      <c r="IOS122" s="69"/>
      <c r="IOT122" s="69"/>
      <c r="IOU122" s="69"/>
      <c r="IOV122" s="69"/>
      <c r="IOW122" s="69"/>
      <c r="IOX122" s="69"/>
      <c r="IOY122" s="69"/>
      <c r="IOZ122" s="69"/>
      <c r="IPA122" s="69"/>
      <c r="IPB122" s="69"/>
      <c r="IPC122" s="69"/>
      <c r="IPD122" s="69"/>
      <c r="IPE122" s="69"/>
      <c r="IPF122" s="69"/>
      <c r="IPG122" s="69"/>
      <c r="IPH122" s="69"/>
      <c r="IPI122" s="69"/>
      <c r="IPJ122" s="69"/>
      <c r="IPK122" s="69"/>
      <c r="IPL122" s="69"/>
      <c r="IPM122" s="69"/>
      <c r="IPN122" s="69"/>
      <c r="IPO122" s="69"/>
      <c r="IPP122" s="69"/>
      <c r="IPQ122" s="69"/>
      <c r="IPR122" s="69"/>
      <c r="IPS122" s="69"/>
      <c r="IPT122" s="69"/>
      <c r="IPU122" s="69"/>
      <c r="IPV122" s="69"/>
      <c r="IPW122" s="69"/>
      <c r="IPX122" s="69"/>
      <c r="IPY122" s="69"/>
      <c r="IPZ122" s="69"/>
      <c r="IQA122" s="69"/>
      <c r="IQB122" s="69"/>
      <c r="IQC122" s="69"/>
      <c r="IQD122" s="69"/>
      <c r="IQE122" s="69"/>
      <c r="IQF122" s="69"/>
      <c r="IQG122" s="69"/>
      <c r="IQH122" s="69"/>
      <c r="IQI122" s="69"/>
      <c r="IQJ122" s="69"/>
      <c r="IQK122" s="69"/>
      <c r="IQL122" s="69"/>
      <c r="IQM122" s="69"/>
      <c r="IQN122" s="69"/>
      <c r="IQO122" s="69"/>
      <c r="IQP122" s="69"/>
      <c r="IQQ122" s="69"/>
      <c r="IQR122" s="69"/>
      <c r="IQS122" s="69"/>
      <c r="IQT122" s="69"/>
      <c r="IQU122" s="69"/>
      <c r="IQV122" s="69"/>
      <c r="IQW122" s="69"/>
      <c r="IQX122" s="69"/>
      <c r="IQY122" s="69"/>
      <c r="IQZ122" s="69"/>
      <c r="IRA122" s="69"/>
      <c r="IRB122" s="69"/>
      <c r="IRC122" s="69"/>
      <c r="IRD122" s="69"/>
      <c r="IRE122" s="69"/>
      <c r="IRF122" s="69"/>
      <c r="IRG122" s="69"/>
      <c r="IRH122" s="69"/>
      <c r="IRI122" s="69"/>
      <c r="IRJ122" s="69"/>
      <c r="IRK122" s="69"/>
      <c r="IRL122" s="69"/>
      <c r="IRM122" s="69"/>
      <c r="IRN122" s="69"/>
      <c r="IRO122" s="69"/>
      <c r="IRP122" s="69"/>
      <c r="IRQ122" s="69"/>
      <c r="IRR122" s="69"/>
      <c r="IRS122" s="69"/>
      <c r="IRT122" s="69"/>
      <c r="IRU122" s="69"/>
      <c r="IRV122" s="69"/>
      <c r="IRW122" s="69"/>
      <c r="IRX122" s="69"/>
      <c r="IRY122" s="69"/>
      <c r="IRZ122" s="69"/>
      <c r="ISA122" s="69"/>
      <c r="ISB122" s="69"/>
      <c r="ISC122" s="69"/>
      <c r="ISD122" s="69"/>
      <c r="ISE122" s="69"/>
      <c r="ISF122" s="69"/>
      <c r="ISG122" s="69"/>
      <c r="ISH122" s="69"/>
      <c r="ISI122" s="69"/>
      <c r="ISJ122" s="69"/>
      <c r="ISK122" s="69"/>
      <c r="ISL122" s="69"/>
      <c r="ISM122" s="69"/>
      <c r="ISN122" s="69"/>
      <c r="ISO122" s="69"/>
      <c r="ISP122" s="69"/>
      <c r="ISQ122" s="69"/>
      <c r="ISR122" s="69"/>
      <c r="ISS122" s="69"/>
      <c r="IST122" s="69"/>
      <c r="ISU122" s="69"/>
      <c r="ISV122" s="69"/>
      <c r="ISW122" s="69"/>
      <c r="ISX122" s="69"/>
      <c r="ISY122" s="69"/>
      <c r="ISZ122" s="69"/>
      <c r="ITA122" s="69"/>
      <c r="ITB122" s="69"/>
      <c r="ITC122" s="69"/>
      <c r="ITD122" s="69"/>
      <c r="ITE122" s="69"/>
      <c r="ITF122" s="69"/>
      <c r="ITG122" s="69"/>
      <c r="ITH122" s="69"/>
      <c r="ITI122" s="69"/>
      <c r="ITJ122" s="69"/>
      <c r="ITK122" s="69"/>
      <c r="ITL122" s="69"/>
      <c r="ITM122" s="69"/>
      <c r="ITN122" s="69"/>
      <c r="ITO122" s="69"/>
      <c r="ITP122" s="69"/>
      <c r="ITQ122" s="69"/>
      <c r="ITR122" s="69"/>
      <c r="ITS122" s="69"/>
      <c r="ITT122" s="69"/>
      <c r="ITU122" s="69"/>
      <c r="ITV122" s="69"/>
      <c r="ITW122" s="69"/>
      <c r="ITX122" s="69"/>
      <c r="ITY122" s="69"/>
      <c r="ITZ122" s="69"/>
      <c r="IUA122" s="69"/>
      <c r="IUB122" s="69"/>
      <c r="IUC122" s="69"/>
      <c r="IUD122" s="69"/>
      <c r="IUE122" s="69"/>
      <c r="IUF122" s="69"/>
      <c r="IUG122" s="69"/>
      <c r="IUH122" s="69"/>
      <c r="IUI122" s="69"/>
      <c r="IUJ122" s="69"/>
      <c r="IUK122" s="69"/>
      <c r="IUL122" s="69"/>
      <c r="IUM122" s="69"/>
      <c r="IUN122" s="69"/>
      <c r="IUO122" s="69"/>
      <c r="IUP122" s="69"/>
      <c r="IUQ122" s="69"/>
      <c r="IUR122" s="69"/>
      <c r="IUS122" s="69"/>
      <c r="IUT122" s="69"/>
      <c r="IUU122" s="69"/>
      <c r="IUV122" s="69"/>
      <c r="IUW122" s="69"/>
      <c r="IUX122" s="69"/>
      <c r="IUY122" s="69"/>
      <c r="IUZ122" s="69"/>
      <c r="IVA122" s="69"/>
      <c r="IVB122" s="69"/>
      <c r="IVC122" s="69"/>
      <c r="IVD122" s="69"/>
      <c r="IVE122" s="69"/>
      <c r="IVF122" s="69"/>
      <c r="IVG122" s="69"/>
      <c r="IVH122" s="69"/>
      <c r="IVI122" s="69"/>
      <c r="IVJ122" s="69"/>
      <c r="IVK122" s="69"/>
      <c r="IVL122" s="69"/>
      <c r="IVM122" s="69"/>
      <c r="IVN122" s="69"/>
      <c r="IVO122" s="69"/>
      <c r="IVP122" s="69"/>
      <c r="IVQ122" s="69"/>
      <c r="IVR122" s="69"/>
      <c r="IVS122" s="69"/>
      <c r="IVT122" s="69"/>
      <c r="IVU122" s="69"/>
      <c r="IVV122" s="69"/>
      <c r="IVW122" s="69"/>
      <c r="IVX122" s="69"/>
      <c r="IVY122" s="69"/>
      <c r="IVZ122" s="69"/>
      <c r="IWA122" s="69"/>
      <c r="IWB122" s="69"/>
      <c r="IWC122" s="69"/>
      <c r="IWD122" s="69"/>
      <c r="IWE122" s="69"/>
      <c r="IWF122" s="69"/>
      <c r="IWG122" s="69"/>
      <c r="IWH122" s="69"/>
      <c r="IWI122" s="69"/>
      <c r="IWJ122" s="69"/>
      <c r="IWK122" s="69"/>
      <c r="IWL122" s="69"/>
      <c r="IWM122" s="69"/>
      <c r="IWN122" s="69"/>
      <c r="IWO122" s="69"/>
      <c r="IWP122" s="69"/>
      <c r="IWQ122" s="69"/>
      <c r="IWR122" s="69"/>
      <c r="IWS122" s="69"/>
      <c r="IWT122" s="69"/>
      <c r="IWU122" s="69"/>
      <c r="IWV122" s="69"/>
      <c r="IWW122" s="69"/>
      <c r="IWX122" s="69"/>
      <c r="IWY122" s="69"/>
      <c r="IWZ122" s="69"/>
      <c r="IXA122" s="69"/>
      <c r="IXB122" s="69"/>
      <c r="IXC122" s="69"/>
      <c r="IXD122" s="69"/>
      <c r="IXE122" s="69"/>
      <c r="IXF122" s="69"/>
      <c r="IXG122" s="69"/>
      <c r="IXH122" s="69"/>
      <c r="IXI122" s="69"/>
      <c r="IXJ122" s="69"/>
      <c r="IXK122" s="69"/>
      <c r="IXL122" s="69"/>
      <c r="IXM122" s="69"/>
      <c r="IXN122" s="69"/>
      <c r="IXO122" s="69"/>
      <c r="IXP122" s="69"/>
      <c r="IXQ122" s="69"/>
      <c r="IXR122" s="69"/>
      <c r="IXS122" s="69"/>
      <c r="IXT122" s="69"/>
      <c r="IXU122" s="69"/>
      <c r="IXV122" s="69"/>
      <c r="IXW122" s="69"/>
      <c r="IXX122" s="69"/>
      <c r="IXY122" s="69"/>
      <c r="IXZ122" s="69"/>
      <c r="IYA122" s="69"/>
      <c r="IYB122" s="69"/>
      <c r="IYC122" s="69"/>
      <c r="IYD122" s="69"/>
      <c r="IYE122" s="69"/>
      <c r="IYF122" s="69"/>
      <c r="IYG122" s="69"/>
      <c r="IYH122" s="69"/>
      <c r="IYI122" s="69"/>
      <c r="IYJ122" s="69"/>
      <c r="IYK122" s="69"/>
      <c r="IYL122" s="69"/>
      <c r="IYM122" s="69"/>
      <c r="IYN122" s="69"/>
      <c r="IYO122" s="69"/>
      <c r="IYP122" s="69"/>
      <c r="IYQ122" s="69"/>
      <c r="IYR122" s="69"/>
      <c r="IYS122" s="69"/>
      <c r="IYT122" s="69"/>
      <c r="IYU122" s="69"/>
      <c r="IYV122" s="69"/>
      <c r="IYW122" s="69"/>
      <c r="IYX122" s="69"/>
      <c r="IYY122" s="69"/>
      <c r="IYZ122" s="69"/>
      <c r="IZA122" s="69"/>
      <c r="IZB122" s="69"/>
      <c r="IZC122" s="69"/>
      <c r="IZD122" s="69"/>
      <c r="IZE122" s="69"/>
      <c r="IZF122" s="69"/>
      <c r="IZG122" s="69"/>
      <c r="IZH122" s="69"/>
      <c r="IZI122" s="69"/>
      <c r="IZJ122" s="69"/>
      <c r="IZK122" s="69"/>
      <c r="IZL122" s="69"/>
      <c r="IZM122" s="69"/>
      <c r="IZN122" s="69"/>
      <c r="IZO122" s="69"/>
      <c r="IZP122" s="69"/>
      <c r="IZQ122" s="69"/>
      <c r="IZR122" s="69"/>
      <c r="IZS122" s="69"/>
      <c r="IZT122" s="69"/>
      <c r="IZU122" s="69"/>
      <c r="IZV122" s="69"/>
      <c r="IZW122" s="69"/>
      <c r="IZX122" s="69"/>
      <c r="IZY122" s="69"/>
      <c r="IZZ122" s="69"/>
      <c r="JAA122" s="69"/>
      <c r="JAB122" s="69"/>
      <c r="JAC122" s="69"/>
      <c r="JAD122" s="69"/>
      <c r="JAE122" s="69"/>
      <c r="JAF122" s="69"/>
      <c r="JAG122" s="69"/>
      <c r="JAH122" s="69"/>
      <c r="JAI122" s="69"/>
      <c r="JAJ122" s="69"/>
      <c r="JAK122" s="69"/>
      <c r="JAL122" s="69"/>
      <c r="JAM122" s="69"/>
      <c r="JAN122" s="69"/>
      <c r="JAO122" s="69"/>
      <c r="JAP122" s="69"/>
      <c r="JAQ122" s="69"/>
      <c r="JAR122" s="69"/>
      <c r="JAS122" s="69"/>
      <c r="JAT122" s="69"/>
      <c r="JAU122" s="69"/>
      <c r="JAV122" s="69"/>
      <c r="JAW122" s="69"/>
      <c r="JAX122" s="69"/>
      <c r="JAY122" s="69"/>
      <c r="JAZ122" s="69"/>
      <c r="JBA122" s="69"/>
      <c r="JBB122" s="69"/>
      <c r="JBC122" s="69"/>
      <c r="JBD122" s="69"/>
      <c r="JBE122" s="69"/>
      <c r="JBF122" s="69"/>
      <c r="JBG122" s="69"/>
      <c r="JBH122" s="69"/>
      <c r="JBI122" s="69"/>
      <c r="JBJ122" s="69"/>
      <c r="JBK122" s="69"/>
      <c r="JBL122" s="69"/>
      <c r="JBM122" s="69"/>
      <c r="JBN122" s="69"/>
      <c r="JBO122" s="69"/>
      <c r="JBP122" s="69"/>
      <c r="JBQ122" s="69"/>
      <c r="JBR122" s="69"/>
      <c r="JBS122" s="69"/>
      <c r="JBT122" s="69"/>
      <c r="JBU122" s="69"/>
      <c r="JBV122" s="69"/>
      <c r="JBW122" s="69"/>
      <c r="JBX122" s="69"/>
      <c r="JBY122" s="69"/>
      <c r="JBZ122" s="69"/>
      <c r="JCA122" s="69"/>
      <c r="JCB122" s="69"/>
      <c r="JCC122" s="69"/>
      <c r="JCD122" s="69"/>
      <c r="JCE122" s="69"/>
      <c r="JCF122" s="69"/>
      <c r="JCG122" s="69"/>
      <c r="JCH122" s="69"/>
      <c r="JCI122" s="69"/>
      <c r="JCJ122" s="69"/>
      <c r="JCK122" s="69"/>
      <c r="JCL122" s="69"/>
      <c r="JCM122" s="69"/>
      <c r="JCN122" s="69"/>
      <c r="JCO122" s="69"/>
      <c r="JCP122" s="69"/>
      <c r="JCQ122" s="69"/>
      <c r="JCR122" s="69"/>
      <c r="JCS122" s="69"/>
      <c r="JCT122" s="69"/>
      <c r="JCU122" s="69"/>
      <c r="JCV122" s="69"/>
      <c r="JCW122" s="69"/>
      <c r="JCX122" s="69"/>
      <c r="JCY122" s="69"/>
      <c r="JCZ122" s="69"/>
      <c r="JDA122" s="69"/>
      <c r="JDB122" s="69"/>
      <c r="JDC122" s="69"/>
      <c r="JDD122" s="69"/>
      <c r="JDE122" s="69"/>
      <c r="JDF122" s="69"/>
      <c r="JDG122" s="69"/>
      <c r="JDH122" s="69"/>
      <c r="JDI122" s="69"/>
      <c r="JDJ122" s="69"/>
      <c r="JDK122" s="69"/>
      <c r="JDL122" s="69"/>
      <c r="JDM122" s="69"/>
      <c r="JDN122" s="69"/>
      <c r="JDO122" s="69"/>
      <c r="JDP122" s="69"/>
      <c r="JDQ122" s="69"/>
      <c r="JDR122" s="69"/>
      <c r="JDS122" s="69"/>
      <c r="JDT122" s="69"/>
      <c r="JDU122" s="69"/>
      <c r="JDV122" s="69"/>
      <c r="JDW122" s="69"/>
      <c r="JDX122" s="69"/>
      <c r="JDY122" s="69"/>
      <c r="JDZ122" s="69"/>
      <c r="JEA122" s="69"/>
      <c r="JEB122" s="69"/>
      <c r="JEC122" s="69"/>
      <c r="JED122" s="69"/>
      <c r="JEE122" s="69"/>
      <c r="JEF122" s="69"/>
      <c r="JEG122" s="69"/>
      <c r="JEH122" s="69"/>
      <c r="JEI122" s="69"/>
      <c r="JEJ122" s="69"/>
      <c r="JEK122" s="69"/>
      <c r="JEL122" s="69"/>
      <c r="JEM122" s="69"/>
      <c r="JEN122" s="69"/>
      <c r="JEO122" s="69"/>
      <c r="JEP122" s="69"/>
      <c r="JEQ122" s="69"/>
      <c r="JER122" s="69"/>
      <c r="JES122" s="69"/>
      <c r="JET122" s="69"/>
      <c r="JEU122" s="69"/>
      <c r="JEV122" s="69"/>
      <c r="JEW122" s="69"/>
      <c r="JEX122" s="69"/>
      <c r="JEY122" s="69"/>
      <c r="JEZ122" s="69"/>
      <c r="JFA122" s="69"/>
      <c r="JFB122" s="69"/>
      <c r="JFC122" s="69"/>
      <c r="JFD122" s="69"/>
      <c r="JFE122" s="69"/>
      <c r="JFF122" s="69"/>
      <c r="JFG122" s="69"/>
      <c r="JFH122" s="69"/>
      <c r="JFI122" s="69"/>
      <c r="JFJ122" s="69"/>
      <c r="JFK122" s="69"/>
      <c r="JFL122" s="69"/>
      <c r="JFM122" s="69"/>
      <c r="JFN122" s="69"/>
      <c r="JFO122" s="69"/>
      <c r="JFP122" s="69"/>
      <c r="JFQ122" s="69"/>
      <c r="JFR122" s="69"/>
      <c r="JFS122" s="69"/>
      <c r="JFT122" s="69"/>
      <c r="JFU122" s="69"/>
      <c r="JFV122" s="69"/>
      <c r="JFW122" s="69"/>
      <c r="JFX122" s="69"/>
      <c r="JFY122" s="69"/>
      <c r="JFZ122" s="69"/>
      <c r="JGA122" s="69"/>
      <c r="JGB122" s="69"/>
      <c r="JGC122" s="69"/>
      <c r="JGD122" s="69"/>
      <c r="JGE122" s="69"/>
      <c r="JGF122" s="69"/>
      <c r="JGG122" s="69"/>
      <c r="JGH122" s="69"/>
      <c r="JGI122" s="69"/>
      <c r="JGJ122" s="69"/>
      <c r="JGK122" s="69"/>
      <c r="JGL122" s="69"/>
      <c r="JGM122" s="69"/>
      <c r="JGN122" s="69"/>
      <c r="JGO122" s="69"/>
      <c r="JGP122" s="69"/>
      <c r="JGQ122" s="69"/>
      <c r="JGR122" s="69"/>
      <c r="JGS122" s="69"/>
      <c r="JGT122" s="69"/>
      <c r="JGU122" s="69"/>
      <c r="JGV122" s="69"/>
      <c r="JGW122" s="69"/>
      <c r="JGX122" s="69"/>
      <c r="JGY122" s="69"/>
      <c r="JGZ122" s="69"/>
      <c r="JHA122" s="69"/>
      <c r="JHB122" s="69"/>
      <c r="JHC122" s="69"/>
      <c r="JHD122" s="69"/>
      <c r="JHE122" s="69"/>
      <c r="JHF122" s="69"/>
      <c r="JHG122" s="69"/>
      <c r="JHH122" s="69"/>
      <c r="JHI122" s="69"/>
      <c r="JHJ122" s="69"/>
      <c r="JHK122" s="69"/>
      <c r="JHL122" s="69"/>
      <c r="JHM122" s="69"/>
      <c r="JHN122" s="69"/>
      <c r="JHO122" s="69"/>
      <c r="JHP122" s="69"/>
      <c r="JHQ122" s="69"/>
      <c r="JHR122" s="69"/>
      <c r="JHS122" s="69"/>
      <c r="JHT122" s="69"/>
      <c r="JHU122" s="69"/>
      <c r="JHV122" s="69"/>
      <c r="JHW122" s="69"/>
      <c r="JHX122" s="69"/>
      <c r="JHY122" s="69"/>
      <c r="JHZ122" s="69"/>
      <c r="JIA122" s="69"/>
      <c r="JIB122" s="69"/>
      <c r="JIC122" s="69"/>
      <c r="JID122" s="69"/>
      <c r="JIE122" s="69"/>
      <c r="JIF122" s="69"/>
      <c r="JIG122" s="69"/>
      <c r="JIH122" s="69"/>
      <c r="JII122" s="69"/>
      <c r="JIJ122" s="69"/>
      <c r="JIK122" s="69"/>
      <c r="JIL122" s="69"/>
      <c r="JIM122" s="69"/>
      <c r="JIN122" s="69"/>
      <c r="JIO122" s="69"/>
      <c r="JIP122" s="69"/>
      <c r="JIQ122" s="69"/>
      <c r="JIR122" s="69"/>
      <c r="JIS122" s="69"/>
      <c r="JIT122" s="69"/>
      <c r="JIU122" s="69"/>
      <c r="JIV122" s="69"/>
      <c r="JIW122" s="69"/>
      <c r="JIX122" s="69"/>
      <c r="JIY122" s="69"/>
      <c r="JIZ122" s="69"/>
      <c r="JJA122" s="69"/>
      <c r="JJB122" s="69"/>
      <c r="JJC122" s="69"/>
      <c r="JJD122" s="69"/>
      <c r="JJE122" s="69"/>
      <c r="JJF122" s="69"/>
      <c r="JJG122" s="69"/>
      <c r="JJH122" s="69"/>
      <c r="JJI122" s="69"/>
      <c r="JJJ122" s="69"/>
      <c r="JJK122" s="69"/>
      <c r="JJL122" s="69"/>
      <c r="JJM122" s="69"/>
      <c r="JJN122" s="69"/>
      <c r="JJO122" s="69"/>
      <c r="JJP122" s="69"/>
      <c r="JJQ122" s="69"/>
      <c r="JJR122" s="69"/>
      <c r="JJS122" s="69"/>
      <c r="JJT122" s="69"/>
      <c r="JJU122" s="69"/>
      <c r="JJV122" s="69"/>
      <c r="JJW122" s="69"/>
      <c r="JJX122" s="69"/>
      <c r="JJY122" s="69"/>
      <c r="JJZ122" s="69"/>
      <c r="JKA122" s="69"/>
      <c r="JKB122" s="69"/>
      <c r="JKC122" s="69"/>
      <c r="JKD122" s="69"/>
      <c r="JKE122" s="69"/>
      <c r="JKF122" s="69"/>
      <c r="JKG122" s="69"/>
      <c r="JKH122" s="69"/>
      <c r="JKI122" s="69"/>
      <c r="JKJ122" s="69"/>
      <c r="JKK122" s="69"/>
      <c r="JKL122" s="69"/>
      <c r="JKM122" s="69"/>
      <c r="JKN122" s="69"/>
      <c r="JKO122" s="69"/>
      <c r="JKP122" s="69"/>
      <c r="JKQ122" s="69"/>
      <c r="JKR122" s="69"/>
      <c r="JKS122" s="69"/>
      <c r="JKT122" s="69"/>
      <c r="JKU122" s="69"/>
      <c r="JKV122" s="69"/>
      <c r="JKW122" s="69"/>
      <c r="JKX122" s="69"/>
      <c r="JKY122" s="69"/>
      <c r="JKZ122" s="69"/>
      <c r="JLA122" s="69"/>
      <c r="JLB122" s="69"/>
      <c r="JLC122" s="69"/>
      <c r="JLD122" s="69"/>
      <c r="JLE122" s="69"/>
      <c r="JLF122" s="69"/>
      <c r="JLG122" s="69"/>
      <c r="JLH122" s="69"/>
      <c r="JLI122" s="69"/>
      <c r="JLJ122" s="69"/>
      <c r="JLK122" s="69"/>
      <c r="JLL122" s="69"/>
      <c r="JLM122" s="69"/>
      <c r="JLN122" s="69"/>
      <c r="JLO122" s="69"/>
      <c r="JLP122" s="69"/>
      <c r="JLQ122" s="69"/>
      <c r="JLR122" s="69"/>
      <c r="JLS122" s="69"/>
      <c r="JLT122" s="69"/>
      <c r="JLU122" s="69"/>
      <c r="JLV122" s="69"/>
      <c r="JLW122" s="69"/>
      <c r="JLX122" s="69"/>
      <c r="JLY122" s="69"/>
      <c r="JLZ122" s="69"/>
      <c r="JMA122" s="69"/>
      <c r="JMB122" s="69"/>
      <c r="JMC122" s="69"/>
      <c r="JMD122" s="69"/>
      <c r="JME122" s="69"/>
      <c r="JMF122" s="69"/>
      <c r="JMG122" s="69"/>
      <c r="JMH122" s="69"/>
      <c r="JMI122" s="69"/>
      <c r="JMJ122" s="69"/>
      <c r="JMK122" s="69"/>
      <c r="JML122" s="69"/>
      <c r="JMM122" s="69"/>
      <c r="JMN122" s="69"/>
      <c r="JMO122" s="69"/>
      <c r="JMP122" s="69"/>
      <c r="JMQ122" s="69"/>
      <c r="JMR122" s="69"/>
      <c r="JMS122" s="69"/>
      <c r="JMT122" s="69"/>
      <c r="JMU122" s="69"/>
      <c r="JMV122" s="69"/>
      <c r="JMW122" s="69"/>
      <c r="JMX122" s="69"/>
      <c r="JMY122" s="69"/>
      <c r="JMZ122" s="69"/>
      <c r="JNA122" s="69"/>
      <c r="JNB122" s="69"/>
      <c r="JNC122" s="69"/>
      <c r="JND122" s="69"/>
      <c r="JNE122" s="69"/>
      <c r="JNF122" s="69"/>
      <c r="JNG122" s="69"/>
      <c r="JNH122" s="69"/>
      <c r="JNI122" s="69"/>
      <c r="JNJ122" s="69"/>
      <c r="JNK122" s="69"/>
      <c r="JNL122" s="69"/>
      <c r="JNM122" s="69"/>
      <c r="JNN122" s="69"/>
      <c r="JNO122" s="69"/>
      <c r="JNP122" s="69"/>
      <c r="JNQ122" s="69"/>
      <c r="JNR122" s="69"/>
      <c r="JNS122" s="69"/>
      <c r="JNT122" s="69"/>
      <c r="JNU122" s="69"/>
      <c r="JNV122" s="69"/>
      <c r="JNW122" s="69"/>
      <c r="JNX122" s="69"/>
      <c r="JNY122" s="69"/>
      <c r="JNZ122" s="69"/>
      <c r="JOA122" s="69"/>
      <c r="JOB122" s="69"/>
      <c r="JOC122" s="69"/>
      <c r="JOD122" s="69"/>
      <c r="JOE122" s="69"/>
      <c r="JOF122" s="69"/>
      <c r="JOG122" s="69"/>
      <c r="JOH122" s="69"/>
      <c r="JOI122" s="69"/>
      <c r="JOJ122" s="69"/>
      <c r="JOK122" s="69"/>
      <c r="JOL122" s="69"/>
      <c r="JOM122" s="69"/>
      <c r="JON122" s="69"/>
      <c r="JOO122" s="69"/>
      <c r="JOP122" s="69"/>
      <c r="JOQ122" s="69"/>
      <c r="JOR122" s="69"/>
      <c r="JOS122" s="69"/>
      <c r="JOT122" s="69"/>
      <c r="JOU122" s="69"/>
      <c r="JOV122" s="69"/>
      <c r="JOW122" s="69"/>
      <c r="JOX122" s="69"/>
      <c r="JOY122" s="69"/>
      <c r="JOZ122" s="69"/>
      <c r="JPA122" s="69"/>
      <c r="JPB122" s="69"/>
      <c r="JPC122" s="69"/>
      <c r="JPD122" s="69"/>
      <c r="JPE122" s="69"/>
      <c r="JPF122" s="69"/>
      <c r="JPG122" s="69"/>
      <c r="JPH122" s="69"/>
      <c r="JPI122" s="69"/>
      <c r="JPJ122" s="69"/>
      <c r="JPK122" s="69"/>
      <c r="JPL122" s="69"/>
      <c r="JPM122" s="69"/>
      <c r="JPN122" s="69"/>
      <c r="JPO122" s="69"/>
      <c r="JPP122" s="69"/>
      <c r="JPQ122" s="69"/>
      <c r="JPR122" s="69"/>
      <c r="JPS122" s="69"/>
      <c r="JPT122" s="69"/>
      <c r="JPU122" s="69"/>
      <c r="JPV122" s="69"/>
      <c r="JPW122" s="69"/>
      <c r="JPX122" s="69"/>
      <c r="JPY122" s="69"/>
      <c r="JPZ122" s="69"/>
      <c r="JQA122" s="69"/>
      <c r="JQB122" s="69"/>
      <c r="JQC122" s="69"/>
      <c r="JQD122" s="69"/>
      <c r="JQE122" s="69"/>
      <c r="JQF122" s="69"/>
      <c r="JQG122" s="69"/>
      <c r="JQH122" s="69"/>
      <c r="JQI122" s="69"/>
      <c r="JQJ122" s="69"/>
      <c r="JQK122" s="69"/>
      <c r="JQL122" s="69"/>
      <c r="JQM122" s="69"/>
      <c r="JQN122" s="69"/>
      <c r="JQO122" s="69"/>
      <c r="JQP122" s="69"/>
      <c r="JQQ122" s="69"/>
      <c r="JQR122" s="69"/>
      <c r="JQS122" s="69"/>
      <c r="JQT122" s="69"/>
      <c r="JQU122" s="69"/>
      <c r="JQV122" s="69"/>
      <c r="JQW122" s="69"/>
      <c r="JQX122" s="69"/>
      <c r="JQY122" s="69"/>
      <c r="JQZ122" s="69"/>
      <c r="JRA122" s="69"/>
      <c r="JRB122" s="69"/>
      <c r="JRC122" s="69"/>
      <c r="JRD122" s="69"/>
      <c r="JRE122" s="69"/>
      <c r="JRF122" s="69"/>
      <c r="JRG122" s="69"/>
      <c r="JRH122" s="69"/>
      <c r="JRI122" s="69"/>
      <c r="JRJ122" s="69"/>
      <c r="JRK122" s="69"/>
      <c r="JRL122" s="69"/>
      <c r="JRM122" s="69"/>
      <c r="JRN122" s="69"/>
      <c r="JRO122" s="69"/>
      <c r="JRP122" s="69"/>
      <c r="JRQ122" s="69"/>
      <c r="JRR122" s="69"/>
      <c r="JRS122" s="69"/>
      <c r="JRT122" s="69"/>
      <c r="JRU122" s="69"/>
      <c r="JRV122" s="69"/>
      <c r="JRW122" s="69"/>
      <c r="JRX122" s="69"/>
      <c r="JRY122" s="69"/>
      <c r="JRZ122" s="69"/>
      <c r="JSA122" s="69"/>
      <c r="JSB122" s="69"/>
      <c r="JSC122" s="69"/>
      <c r="JSD122" s="69"/>
      <c r="JSE122" s="69"/>
      <c r="JSF122" s="69"/>
      <c r="JSG122" s="69"/>
      <c r="JSH122" s="69"/>
      <c r="JSI122" s="69"/>
      <c r="JSJ122" s="69"/>
      <c r="JSK122" s="69"/>
      <c r="JSL122" s="69"/>
      <c r="JSM122" s="69"/>
      <c r="JSN122" s="69"/>
      <c r="JSO122" s="69"/>
      <c r="JSP122" s="69"/>
      <c r="JSQ122" s="69"/>
      <c r="JSR122" s="69"/>
      <c r="JSS122" s="69"/>
      <c r="JST122" s="69"/>
      <c r="JSU122" s="69"/>
      <c r="JSV122" s="69"/>
      <c r="JSW122" s="69"/>
      <c r="JSX122" s="69"/>
      <c r="JSY122" s="69"/>
      <c r="JSZ122" s="69"/>
      <c r="JTA122" s="69"/>
      <c r="JTB122" s="69"/>
      <c r="JTC122" s="69"/>
      <c r="JTD122" s="69"/>
      <c r="JTE122" s="69"/>
      <c r="JTF122" s="69"/>
      <c r="JTG122" s="69"/>
      <c r="JTH122" s="69"/>
      <c r="JTI122" s="69"/>
      <c r="JTJ122" s="69"/>
      <c r="JTK122" s="69"/>
      <c r="JTL122" s="69"/>
      <c r="JTM122" s="69"/>
      <c r="JTN122" s="69"/>
      <c r="JTO122" s="69"/>
      <c r="JTP122" s="69"/>
      <c r="JTQ122" s="69"/>
      <c r="JTR122" s="69"/>
      <c r="JTS122" s="69"/>
      <c r="JTT122" s="69"/>
      <c r="JTU122" s="69"/>
      <c r="JTV122" s="69"/>
      <c r="JTW122" s="69"/>
      <c r="JTX122" s="69"/>
      <c r="JTY122" s="69"/>
      <c r="JTZ122" s="69"/>
      <c r="JUA122" s="69"/>
      <c r="JUB122" s="69"/>
      <c r="JUC122" s="69"/>
      <c r="JUD122" s="69"/>
      <c r="JUE122" s="69"/>
      <c r="JUF122" s="69"/>
      <c r="JUG122" s="69"/>
      <c r="JUH122" s="69"/>
      <c r="JUI122" s="69"/>
      <c r="JUJ122" s="69"/>
      <c r="JUK122" s="69"/>
      <c r="JUL122" s="69"/>
      <c r="JUM122" s="69"/>
      <c r="JUN122" s="69"/>
      <c r="JUO122" s="69"/>
      <c r="JUP122" s="69"/>
      <c r="JUQ122" s="69"/>
      <c r="JUR122" s="69"/>
      <c r="JUS122" s="69"/>
      <c r="JUT122" s="69"/>
      <c r="JUU122" s="69"/>
      <c r="JUV122" s="69"/>
      <c r="JUW122" s="69"/>
      <c r="JUX122" s="69"/>
      <c r="JUY122" s="69"/>
      <c r="JUZ122" s="69"/>
      <c r="JVA122" s="69"/>
      <c r="JVB122" s="69"/>
      <c r="JVC122" s="69"/>
      <c r="JVD122" s="69"/>
      <c r="JVE122" s="69"/>
      <c r="JVF122" s="69"/>
      <c r="JVG122" s="69"/>
      <c r="JVH122" s="69"/>
      <c r="JVI122" s="69"/>
      <c r="JVJ122" s="69"/>
      <c r="JVK122" s="69"/>
      <c r="JVL122" s="69"/>
      <c r="JVM122" s="69"/>
      <c r="JVN122" s="69"/>
      <c r="JVO122" s="69"/>
      <c r="JVP122" s="69"/>
      <c r="JVQ122" s="69"/>
      <c r="JVR122" s="69"/>
      <c r="JVS122" s="69"/>
      <c r="JVT122" s="69"/>
      <c r="JVU122" s="69"/>
      <c r="JVV122" s="69"/>
      <c r="JVW122" s="69"/>
      <c r="JVX122" s="69"/>
      <c r="JVY122" s="69"/>
      <c r="JVZ122" s="69"/>
      <c r="JWA122" s="69"/>
      <c r="JWB122" s="69"/>
      <c r="JWC122" s="69"/>
      <c r="JWD122" s="69"/>
      <c r="JWE122" s="69"/>
      <c r="JWF122" s="69"/>
      <c r="JWG122" s="69"/>
      <c r="JWH122" s="69"/>
      <c r="JWI122" s="69"/>
      <c r="JWJ122" s="69"/>
      <c r="JWK122" s="69"/>
      <c r="JWL122" s="69"/>
      <c r="JWM122" s="69"/>
      <c r="JWN122" s="69"/>
      <c r="JWO122" s="69"/>
      <c r="JWP122" s="69"/>
      <c r="JWQ122" s="69"/>
      <c r="JWR122" s="69"/>
      <c r="JWS122" s="69"/>
      <c r="JWT122" s="69"/>
      <c r="JWU122" s="69"/>
      <c r="JWV122" s="69"/>
      <c r="JWW122" s="69"/>
      <c r="JWX122" s="69"/>
      <c r="JWY122" s="69"/>
      <c r="JWZ122" s="69"/>
      <c r="JXA122" s="69"/>
      <c r="JXB122" s="69"/>
      <c r="JXC122" s="69"/>
      <c r="JXD122" s="69"/>
      <c r="JXE122" s="69"/>
      <c r="JXF122" s="69"/>
      <c r="JXG122" s="69"/>
      <c r="JXH122" s="69"/>
      <c r="JXI122" s="69"/>
      <c r="JXJ122" s="69"/>
      <c r="JXK122" s="69"/>
      <c r="JXL122" s="69"/>
      <c r="JXM122" s="69"/>
      <c r="JXN122" s="69"/>
      <c r="JXO122" s="69"/>
      <c r="JXP122" s="69"/>
      <c r="JXQ122" s="69"/>
      <c r="JXR122" s="69"/>
      <c r="JXS122" s="69"/>
      <c r="JXT122" s="69"/>
      <c r="JXU122" s="69"/>
      <c r="JXV122" s="69"/>
      <c r="JXW122" s="69"/>
      <c r="JXX122" s="69"/>
      <c r="JXY122" s="69"/>
      <c r="JXZ122" s="69"/>
      <c r="JYA122" s="69"/>
      <c r="JYB122" s="69"/>
      <c r="JYC122" s="69"/>
      <c r="JYD122" s="69"/>
      <c r="JYE122" s="69"/>
      <c r="JYF122" s="69"/>
      <c r="JYG122" s="69"/>
      <c r="JYH122" s="69"/>
      <c r="JYI122" s="69"/>
      <c r="JYJ122" s="69"/>
      <c r="JYK122" s="69"/>
      <c r="JYL122" s="69"/>
      <c r="JYM122" s="69"/>
      <c r="JYN122" s="69"/>
      <c r="JYO122" s="69"/>
      <c r="JYP122" s="69"/>
      <c r="JYQ122" s="69"/>
      <c r="JYR122" s="69"/>
      <c r="JYS122" s="69"/>
      <c r="JYT122" s="69"/>
      <c r="JYU122" s="69"/>
      <c r="JYV122" s="69"/>
      <c r="JYW122" s="69"/>
      <c r="JYX122" s="69"/>
      <c r="JYY122" s="69"/>
      <c r="JYZ122" s="69"/>
      <c r="JZA122" s="69"/>
      <c r="JZB122" s="69"/>
      <c r="JZC122" s="69"/>
      <c r="JZD122" s="69"/>
      <c r="JZE122" s="69"/>
      <c r="JZF122" s="69"/>
      <c r="JZG122" s="69"/>
      <c r="JZH122" s="69"/>
      <c r="JZI122" s="69"/>
      <c r="JZJ122" s="69"/>
      <c r="JZK122" s="69"/>
      <c r="JZL122" s="69"/>
      <c r="JZM122" s="69"/>
      <c r="JZN122" s="69"/>
      <c r="JZO122" s="69"/>
      <c r="JZP122" s="69"/>
      <c r="JZQ122" s="69"/>
      <c r="JZR122" s="69"/>
      <c r="JZS122" s="69"/>
      <c r="JZT122" s="69"/>
      <c r="JZU122" s="69"/>
      <c r="JZV122" s="69"/>
      <c r="JZW122" s="69"/>
      <c r="JZX122" s="69"/>
      <c r="JZY122" s="69"/>
      <c r="JZZ122" s="69"/>
      <c r="KAA122" s="69"/>
      <c r="KAB122" s="69"/>
      <c r="KAC122" s="69"/>
      <c r="KAD122" s="69"/>
      <c r="KAE122" s="69"/>
      <c r="KAF122" s="69"/>
      <c r="KAG122" s="69"/>
      <c r="KAH122" s="69"/>
      <c r="KAI122" s="69"/>
      <c r="KAJ122" s="69"/>
      <c r="KAK122" s="69"/>
      <c r="KAL122" s="69"/>
      <c r="KAM122" s="69"/>
      <c r="KAN122" s="69"/>
      <c r="KAO122" s="69"/>
      <c r="KAP122" s="69"/>
      <c r="KAQ122" s="69"/>
      <c r="KAR122" s="69"/>
      <c r="KAS122" s="69"/>
      <c r="KAT122" s="69"/>
      <c r="KAU122" s="69"/>
      <c r="KAV122" s="69"/>
      <c r="KAW122" s="69"/>
      <c r="KAX122" s="69"/>
      <c r="KAY122" s="69"/>
      <c r="KAZ122" s="69"/>
      <c r="KBA122" s="69"/>
      <c r="KBB122" s="69"/>
      <c r="KBC122" s="69"/>
      <c r="KBD122" s="69"/>
      <c r="KBE122" s="69"/>
      <c r="KBF122" s="69"/>
      <c r="KBG122" s="69"/>
      <c r="KBH122" s="69"/>
      <c r="KBI122" s="69"/>
      <c r="KBJ122" s="69"/>
      <c r="KBK122" s="69"/>
      <c r="KBL122" s="69"/>
      <c r="KBM122" s="69"/>
      <c r="KBN122" s="69"/>
      <c r="KBO122" s="69"/>
      <c r="KBP122" s="69"/>
      <c r="KBQ122" s="69"/>
      <c r="KBR122" s="69"/>
      <c r="KBS122" s="69"/>
      <c r="KBT122" s="69"/>
      <c r="KBU122" s="69"/>
      <c r="KBV122" s="69"/>
      <c r="KBW122" s="69"/>
      <c r="KBX122" s="69"/>
      <c r="KBY122" s="69"/>
      <c r="KBZ122" s="69"/>
      <c r="KCA122" s="69"/>
      <c r="KCB122" s="69"/>
      <c r="KCC122" s="69"/>
      <c r="KCD122" s="69"/>
      <c r="KCE122" s="69"/>
      <c r="KCF122" s="69"/>
      <c r="KCG122" s="69"/>
      <c r="KCH122" s="69"/>
      <c r="KCI122" s="69"/>
      <c r="KCJ122" s="69"/>
      <c r="KCK122" s="69"/>
      <c r="KCL122" s="69"/>
      <c r="KCM122" s="69"/>
      <c r="KCN122" s="69"/>
      <c r="KCO122" s="69"/>
      <c r="KCP122" s="69"/>
      <c r="KCQ122" s="69"/>
      <c r="KCR122" s="69"/>
      <c r="KCS122" s="69"/>
      <c r="KCT122" s="69"/>
      <c r="KCU122" s="69"/>
      <c r="KCV122" s="69"/>
      <c r="KCW122" s="69"/>
      <c r="KCX122" s="69"/>
      <c r="KCY122" s="69"/>
      <c r="KCZ122" s="69"/>
      <c r="KDA122" s="69"/>
      <c r="KDB122" s="69"/>
      <c r="KDC122" s="69"/>
      <c r="KDD122" s="69"/>
      <c r="KDE122" s="69"/>
      <c r="KDF122" s="69"/>
      <c r="KDG122" s="69"/>
      <c r="KDH122" s="69"/>
      <c r="KDI122" s="69"/>
      <c r="KDJ122" s="69"/>
      <c r="KDK122" s="69"/>
      <c r="KDL122" s="69"/>
      <c r="KDM122" s="69"/>
      <c r="KDN122" s="69"/>
      <c r="KDO122" s="69"/>
      <c r="KDP122" s="69"/>
      <c r="KDQ122" s="69"/>
      <c r="KDR122" s="69"/>
      <c r="KDS122" s="69"/>
      <c r="KDT122" s="69"/>
      <c r="KDU122" s="69"/>
      <c r="KDV122" s="69"/>
      <c r="KDW122" s="69"/>
      <c r="KDX122" s="69"/>
      <c r="KDY122" s="69"/>
      <c r="KDZ122" s="69"/>
      <c r="KEA122" s="69"/>
      <c r="KEB122" s="69"/>
      <c r="KEC122" s="69"/>
      <c r="KED122" s="69"/>
      <c r="KEE122" s="69"/>
      <c r="KEF122" s="69"/>
      <c r="KEG122" s="69"/>
      <c r="KEH122" s="69"/>
      <c r="KEI122" s="69"/>
      <c r="KEJ122" s="69"/>
      <c r="KEK122" s="69"/>
      <c r="KEL122" s="69"/>
      <c r="KEM122" s="69"/>
      <c r="KEN122" s="69"/>
      <c r="KEO122" s="69"/>
      <c r="KEP122" s="69"/>
      <c r="KEQ122" s="69"/>
      <c r="KER122" s="69"/>
      <c r="KES122" s="69"/>
      <c r="KET122" s="69"/>
      <c r="KEU122" s="69"/>
      <c r="KEV122" s="69"/>
      <c r="KEW122" s="69"/>
      <c r="KEX122" s="69"/>
      <c r="KEY122" s="69"/>
      <c r="KEZ122" s="69"/>
      <c r="KFA122" s="69"/>
      <c r="KFB122" s="69"/>
      <c r="KFC122" s="69"/>
      <c r="KFD122" s="69"/>
      <c r="KFE122" s="69"/>
      <c r="KFF122" s="69"/>
      <c r="KFG122" s="69"/>
      <c r="KFH122" s="69"/>
      <c r="KFI122" s="69"/>
      <c r="KFJ122" s="69"/>
      <c r="KFK122" s="69"/>
      <c r="KFL122" s="69"/>
      <c r="KFM122" s="69"/>
      <c r="KFN122" s="69"/>
      <c r="KFO122" s="69"/>
      <c r="KFP122" s="69"/>
      <c r="KFQ122" s="69"/>
      <c r="KFR122" s="69"/>
      <c r="KFS122" s="69"/>
      <c r="KFT122" s="69"/>
      <c r="KFU122" s="69"/>
      <c r="KFV122" s="69"/>
      <c r="KFW122" s="69"/>
      <c r="KFX122" s="69"/>
      <c r="KFY122" s="69"/>
      <c r="KFZ122" s="69"/>
      <c r="KGA122" s="69"/>
      <c r="KGB122" s="69"/>
      <c r="KGC122" s="69"/>
      <c r="KGD122" s="69"/>
      <c r="KGE122" s="69"/>
      <c r="KGF122" s="69"/>
      <c r="KGG122" s="69"/>
      <c r="KGH122" s="69"/>
      <c r="KGI122" s="69"/>
      <c r="KGJ122" s="69"/>
      <c r="KGK122" s="69"/>
      <c r="KGL122" s="69"/>
      <c r="KGM122" s="69"/>
      <c r="KGN122" s="69"/>
      <c r="KGO122" s="69"/>
      <c r="KGP122" s="69"/>
      <c r="KGQ122" s="69"/>
      <c r="KGR122" s="69"/>
      <c r="KGS122" s="69"/>
      <c r="KGT122" s="69"/>
      <c r="KGU122" s="69"/>
      <c r="KGV122" s="69"/>
      <c r="KGW122" s="69"/>
      <c r="KGX122" s="69"/>
      <c r="KGY122" s="69"/>
      <c r="KGZ122" s="69"/>
      <c r="KHA122" s="69"/>
      <c r="KHB122" s="69"/>
      <c r="KHC122" s="69"/>
      <c r="KHD122" s="69"/>
      <c r="KHE122" s="69"/>
      <c r="KHF122" s="69"/>
      <c r="KHG122" s="69"/>
      <c r="KHH122" s="69"/>
      <c r="KHI122" s="69"/>
      <c r="KHJ122" s="69"/>
      <c r="KHK122" s="69"/>
      <c r="KHL122" s="69"/>
      <c r="KHM122" s="69"/>
      <c r="KHN122" s="69"/>
      <c r="KHO122" s="69"/>
      <c r="KHP122" s="69"/>
      <c r="KHQ122" s="69"/>
      <c r="KHR122" s="69"/>
      <c r="KHS122" s="69"/>
      <c r="KHT122" s="69"/>
      <c r="KHU122" s="69"/>
      <c r="KHV122" s="69"/>
      <c r="KHW122" s="69"/>
      <c r="KHX122" s="69"/>
      <c r="KHY122" s="69"/>
      <c r="KHZ122" s="69"/>
      <c r="KIA122" s="69"/>
      <c r="KIB122" s="69"/>
      <c r="KIC122" s="69"/>
      <c r="KID122" s="69"/>
      <c r="KIE122" s="69"/>
      <c r="KIF122" s="69"/>
      <c r="KIG122" s="69"/>
      <c r="KIH122" s="69"/>
      <c r="KII122" s="69"/>
      <c r="KIJ122" s="69"/>
      <c r="KIK122" s="69"/>
      <c r="KIL122" s="69"/>
      <c r="KIM122" s="69"/>
      <c r="KIN122" s="69"/>
      <c r="KIO122" s="69"/>
      <c r="KIP122" s="69"/>
      <c r="KIQ122" s="69"/>
      <c r="KIR122" s="69"/>
      <c r="KIS122" s="69"/>
      <c r="KIT122" s="69"/>
      <c r="KIU122" s="69"/>
      <c r="KIV122" s="69"/>
      <c r="KIW122" s="69"/>
      <c r="KIX122" s="69"/>
      <c r="KIY122" s="69"/>
      <c r="KIZ122" s="69"/>
      <c r="KJA122" s="69"/>
      <c r="KJB122" s="69"/>
      <c r="KJC122" s="69"/>
      <c r="KJD122" s="69"/>
      <c r="KJE122" s="69"/>
      <c r="KJF122" s="69"/>
      <c r="KJG122" s="69"/>
      <c r="KJH122" s="69"/>
      <c r="KJI122" s="69"/>
      <c r="KJJ122" s="69"/>
      <c r="KJK122" s="69"/>
      <c r="KJL122" s="69"/>
      <c r="KJM122" s="69"/>
      <c r="KJN122" s="69"/>
      <c r="KJO122" s="69"/>
      <c r="KJP122" s="69"/>
      <c r="KJQ122" s="69"/>
      <c r="KJR122" s="69"/>
      <c r="KJS122" s="69"/>
      <c r="KJT122" s="69"/>
      <c r="KJU122" s="69"/>
      <c r="KJV122" s="69"/>
      <c r="KJW122" s="69"/>
      <c r="KJX122" s="69"/>
      <c r="KJY122" s="69"/>
      <c r="KJZ122" s="69"/>
      <c r="KKA122" s="69"/>
      <c r="KKB122" s="69"/>
      <c r="KKC122" s="69"/>
      <c r="KKD122" s="69"/>
      <c r="KKE122" s="69"/>
      <c r="KKF122" s="69"/>
      <c r="KKG122" s="69"/>
      <c r="KKH122" s="69"/>
      <c r="KKI122" s="69"/>
      <c r="KKJ122" s="69"/>
      <c r="KKK122" s="69"/>
      <c r="KKL122" s="69"/>
      <c r="KKM122" s="69"/>
      <c r="KKN122" s="69"/>
      <c r="KKO122" s="69"/>
      <c r="KKP122" s="69"/>
      <c r="KKQ122" s="69"/>
      <c r="KKR122" s="69"/>
      <c r="KKS122" s="69"/>
      <c r="KKT122" s="69"/>
      <c r="KKU122" s="69"/>
      <c r="KKV122" s="69"/>
      <c r="KKW122" s="69"/>
      <c r="KKX122" s="69"/>
      <c r="KKY122" s="69"/>
      <c r="KKZ122" s="69"/>
      <c r="KLA122" s="69"/>
      <c r="KLB122" s="69"/>
      <c r="KLC122" s="69"/>
      <c r="KLD122" s="69"/>
      <c r="KLE122" s="69"/>
      <c r="KLF122" s="69"/>
      <c r="KLG122" s="69"/>
      <c r="KLH122" s="69"/>
      <c r="KLI122" s="69"/>
      <c r="KLJ122" s="69"/>
      <c r="KLK122" s="69"/>
      <c r="KLL122" s="69"/>
      <c r="KLM122" s="69"/>
      <c r="KLN122" s="69"/>
      <c r="KLO122" s="69"/>
      <c r="KLP122" s="69"/>
      <c r="KLQ122" s="69"/>
      <c r="KLR122" s="69"/>
      <c r="KLS122" s="69"/>
      <c r="KLT122" s="69"/>
      <c r="KLU122" s="69"/>
      <c r="KLV122" s="69"/>
      <c r="KLW122" s="69"/>
      <c r="KLX122" s="69"/>
      <c r="KLY122" s="69"/>
      <c r="KLZ122" s="69"/>
      <c r="KMA122" s="69"/>
      <c r="KMB122" s="69"/>
      <c r="KMC122" s="69"/>
      <c r="KMD122" s="69"/>
      <c r="KME122" s="69"/>
      <c r="KMF122" s="69"/>
      <c r="KMG122" s="69"/>
      <c r="KMH122" s="69"/>
      <c r="KMI122" s="69"/>
      <c r="KMJ122" s="69"/>
      <c r="KMK122" s="69"/>
      <c r="KML122" s="69"/>
      <c r="KMM122" s="69"/>
      <c r="KMN122" s="69"/>
      <c r="KMO122" s="69"/>
      <c r="KMP122" s="69"/>
      <c r="KMQ122" s="69"/>
      <c r="KMR122" s="69"/>
      <c r="KMS122" s="69"/>
      <c r="KMT122" s="69"/>
      <c r="KMU122" s="69"/>
      <c r="KMV122" s="69"/>
      <c r="KMW122" s="69"/>
      <c r="KMX122" s="69"/>
      <c r="KMY122" s="69"/>
      <c r="KMZ122" s="69"/>
      <c r="KNA122" s="69"/>
      <c r="KNB122" s="69"/>
      <c r="KNC122" s="69"/>
      <c r="KND122" s="69"/>
      <c r="KNE122" s="69"/>
      <c r="KNF122" s="69"/>
      <c r="KNG122" s="69"/>
      <c r="KNH122" s="69"/>
      <c r="KNI122" s="69"/>
      <c r="KNJ122" s="69"/>
      <c r="KNK122" s="69"/>
      <c r="KNL122" s="69"/>
      <c r="KNM122" s="69"/>
      <c r="KNN122" s="69"/>
      <c r="KNO122" s="69"/>
      <c r="KNP122" s="69"/>
      <c r="KNQ122" s="69"/>
      <c r="KNR122" s="69"/>
      <c r="KNS122" s="69"/>
      <c r="KNT122" s="69"/>
      <c r="KNU122" s="69"/>
      <c r="KNV122" s="69"/>
      <c r="KNW122" s="69"/>
      <c r="KNX122" s="69"/>
      <c r="KNY122" s="69"/>
      <c r="KNZ122" s="69"/>
      <c r="KOA122" s="69"/>
      <c r="KOB122" s="69"/>
      <c r="KOC122" s="69"/>
      <c r="KOD122" s="69"/>
      <c r="KOE122" s="69"/>
      <c r="KOF122" s="69"/>
      <c r="KOG122" s="69"/>
      <c r="KOH122" s="69"/>
      <c r="KOI122" s="69"/>
      <c r="KOJ122" s="69"/>
      <c r="KOK122" s="69"/>
      <c r="KOL122" s="69"/>
      <c r="KOM122" s="69"/>
      <c r="KON122" s="69"/>
      <c r="KOO122" s="69"/>
      <c r="KOP122" s="69"/>
      <c r="KOQ122" s="69"/>
      <c r="KOR122" s="69"/>
      <c r="KOS122" s="69"/>
      <c r="KOT122" s="69"/>
      <c r="KOU122" s="69"/>
      <c r="KOV122" s="69"/>
      <c r="KOW122" s="69"/>
      <c r="KOX122" s="69"/>
      <c r="KOY122" s="69"/>
      <c r="KOZ122" s="69"/>
      <c r="KPA122" s="69"/>
      <c r="KPB122" s="69"/>
      <c r="KPC122" s="69"/>
      <c r="KPD122" s="69"/>
      <c r="KPE122" s="69"/>
      <c r="KPF122" s="69"/>
      <c r="KPG122" s="69"/>
      <c r="KPH122" s="69"/>
      <c r="KPI122" s="69"/>
      <c r="KPJ122" s="69"/>
      <c r="KPK122" s="69"/>
      <c r="KPL122" s="69"/>
      <c r="KPM122" s="69"/>
      <c r="KPN122" s="69"/>
      <c r="KPO122" s="69"/>
      <c r="KPP122" s="69"/>
      <c r="KPQ122" s="69"/>
      <c r="KPR122" s="69"/>
      <c r="KPS122" s="69"/>
      <c r="KPT122" s="69"/>
      <c r="KPU122" s="69"/>
      <c r="KPV122" s="69"/>
      <c r="KPW122" s="69"/>
      <c r="KPX122" s="69"/>
      <c r="KPY122" s="69"/>
      <c r="KPZ122" s="69"/>
      <c r="KQA122" s="69"/>
      <c r="KQB122" s="69"/>
      <c r="KQC122" s="69"/>
      <c r="KQD122" s="69"/>
      <c r="KQE122" s="69"/>
      <c r="KQF122" s="69"/>
      <c r="KQG122" s="69"/>
      <c r="KQH122" s="69"/>
      <c r="KQI122" s="69"/>
      <c r="KQJ122" s="69"/>
      <c r="KQK122" s="69"/>
      <c r="KQL122" s="69"/>
      <c r="KQM122" s="69"/>
      <c r="KQN122" s="69"/>
      <c r="KQO122" s="69"/>
      <c r="KQP122" s="69"/>
      <c r="KQQ122" s="69"/>
      <c r="KQR122" s="69"/>
      <c r="KQS122" s="69"/>
      <c r="KQT122" s="69"/>
      <c r="KQU122" s="69"/>
      <c r="KQV122" s="69"/>
      <c r="KQW122" s="69"/>
      <c r="KQX122" s="69"/>
      <c r="KQY122" s="69"/>
      <c r="KQZ122" s="69"/>
      <c r="KRA122" s="69"/>
      <c r="KRB122" s="69"/>
      <c r="KRC122" s="69"/>
      <c r="KRD122" s="69"/>
      <c r="KRE122" s="69"/>
      <c r="KRF122" s="69"/>
      <c r="KRG122" s="69"/>
      <c r="KRH122" s="69"/>
      <c r="KRI122" s="69"/>
      <c r="KRJ122" s="69"/>
      <c r="KRK122" s="69"/>
      <c r="KRL122" s="69"/>
      <c r="KRM122" s="69"/>
      <c r="KRN122" s="69"/>
      <c r="KRO122" s="69"/>
      <c r="KRP122" s="69"/>
      <c r="KRQ122" s="69"/>
      <c r="KRR122" s="69"/>
      <c r="KRS122" s="69"/>
      <c r="KRT122" s="69"/>
      <c r="KRU122" s="69"/>
      <c r="KRV122" s="69"/>
      <c r="KRW122" s="69"/>
      <c r="KRX122" s="69"/>
      <c r="KRY122" s="69"/>
      <c r="KRZ122" s="69"/>
      <c r="KSA122" s="69"/>
      <c r="KSB122" s="69"/>
      <c r="KSC122" s="69"/>
      <c r="KSD122" s="69"/>
      <c r="KSE122" s="69"/>
      <c r="KSF122" s="69"/>
      <c r="KSG122" s="69"/>
      <c r="KSH122" s="69"/>
      <c r="KSI122" s="69"/>
      <c r="KSJ122" s="69"/>
      <c r="KSK122" s="69"/>
      <c r="KSL122" s="69"/>
      <c r="KSM122" s="69"/>
      <c r="KSN122" s="69"/>
      <c r="KSO122" s="69"/>
      <c r="KSP122" s="69"/>
      <c r="KSQ122" s="69"/>
      <c r="KSR122" s="69"/>
      <c r="KSS122" s="69"/>
      <c r="KST122" s="69"/>
      <c r="KSU122" s="69"/>
      <c r="KSV122" s="69"/>
      <c r="KSW122" s="69"/>
      <c r="KSX122" s="69"/>
      <c r="KSY122" s="69"/>
      <c r="KSZ122" s="69"/>
      <c r="KTA122" s="69"/>
      <c r="KTB122" s="69"/>
      <c r="KTC122" s="69"/>
      <c r="KTD122" s="69"/>
      <c r="KTE122" s="69"/>
      <c r="KTF122" s="69"/>
      <c r="KTG122" s="69"/>
      <c r="KTH122" s="69"/>
      <c r="KTI122" s="69"/>
      <c r="KTJ122" s="69"/>
      <c r="KTK122" s="69"/>
      <c r="KTL122" s="69"/>
      <c r="KTM122" s="69"/>
      <c r="KTN122" s="69"/>
      <c r="KTO122" s="69"/>
      <c r="KTP122" s="69"/>
      <c r="KTQ122" s="69"/>
      <c r="KTR122" s="69"/>
      <c r="KTS122" s="69"/>
      <c r="KTT122" s="69"/>
      <c r="KTU122" s="69"/>
      <c r="KTV122" s="69"/>
      <c r="KTW122" s="69"/>
      <c r="KTX122" s="69"/>
      <c r="KTY122" s="69"/>
      <c r="KTZ122" s="69"/>
      <c r="KUA122" s="69"/>
      <c r="KUB122" s="69"/>
      <c r="KUC122" s="69"/>
      <c r="KUD122" s="69"/>
      <c r="KUE122" s="69"/>
      <c r="KUF122" s="69"/>
      <c r="KUG122" s="69"/>
      <c r="KUH122" s="69"/>
      <c r="KUI122" s="69"/>
      <c r="KUJ122" s="69"/>
      <c r="KUK122" s="69"/>
      <c r="KUL122" s="69"/>
      <c r="KUM122" s="69"/>
      <c r="KUN122" s="69"/>
      <c r="KUO122" s="69"/>
      <c r="KUP122" s="69"/>
      <c r="KUQ122" s="69"/>
      <c r="KUR122" s="69"/>
      <c r="KUS122" s="69"/>
      <c r="KUT122" s="69"/>
      <c r="KUU122" s="69"/>
      <c r="KUV122" s="69"/>
      <c r="KUW122" s="69"/>
      <c r="KUX122" s="69"/>
      <c r="KUY122" s="69"/>
      <c r="KUZ122" s="69"/>
      <c r="KVA122" s="69"/>
      <c r="KVB122" s="69"/>
      <c r="KVC122" s="69"/>
      <c r="KVD122" s="69"/>
      <c r="KVE122" s="69"/>
      <c r="KVF122" s="69"/>
      <c r="KVG122" s="69"/>
      <c r="KVH122" s="69"/>
      <c r="KVI122" s="69"/>
      <c r="KVJ122" s="69"/>
      <c r="KVK122" s="69"/>
      <c r="KVL122" s="69"/>
      <c r="KVM122" s="69"/>
      <c r="KVN122" s="69"/>
      <c r="KVO122" s="69"/>
      <c r="KVP122" s="69"/>
      <c r="KVQ122" s="69"/>
      <c r="KVR122" s="69"/>
      <c r="KVS122" s="69"/>
      <c r="KVT122" s="69"/>
      <c r="KVU122" s="69"/>
      <c r="KVV122" s="69"/>
      <c r="KVW122" s="69"/>
      <c r="KVX122" s="69"/>
      <c r="KVY122" s="69"/>
      <c r="KVZ122" s="69"/>
      <c r="KWA122" s="69"/>
      <c r="KWB122" s="69"/>
      <c r="KWC122" s="69"/>
      <c r="KWD122" s="69"/>
      <c r="KWE122" s="69"/>
      <c r="KWF122" s="69"/>
      <c r="KWG122" s="69"/>
      <c r="KWH122" s="69"/>
      <c r="KWI122" s="69"/>
      <c r="KWJ122" s="69"/>
      <c r="KWK122" s="69"/>
      <c r="KWL122" s="69"/>
      <c r="KWM122" s="69"/>
      <c r="KWN122" s="69"/>
      <c r="KWO122" s="69"/>
      <c r="KWP122" s="69"/>
      <c r="KWQ122" s="69"/>
      <c r="KWR122" s="69"/>
      <c r="KWS122" s="69"/>
      <c r="KWT122" s="69"/>
      <c r="KWU122" s="69"/>
      <c r="KWV122" s="69"/>
      <c r="KWW122" s="69"/>
      <c r="KWX122" s="69"/>
      <c r="KWY122" s="69"/>
      <c r="KWZ122" s="69"/>
      <c r="KXA122" s="69"/>
      <c r="KXB122" s="69"/>
      <c r="KXC122" s="69"/>
      <c r="KXD122" s="69"/>
      <c r="KXE122" s="69"/>
      <c r="KXF122" s="69"/>
      <c r="KXG122" s="69"/>
      <c r="KXH122" s="69"/>
      <c r="KXI122" s="69"/>
      <c r="KXJ122" s="69"/>
      <c r="KXK122" s="69"/>
      <c r="KXL122" s="69"/>
      <c r="KXM122" s="69"/>
      <c r="KXN122" s="69"/>
      <c r="KXO122" s="69"/>
      <c r="KXP122" s="69"/>
      <c r="KXQ122" s="69"/>
      <c r="KXR122" s="69"/>
      <c r="KXS122" s="69"/>
      <c r="KXT122" s="69"/>
      <c r="KXU122" s="69"/>
      <c r="KXV122" s="69"/>
      <c r="KXW122" s="69"/>
      <c r="KXX122" s="69"/>
      <c r="KXY122" s="69"/>
      <c r="KXZ122" s="69"/>
      <c r="KYA122" s="69"/>
      <c r="KYB122" s="69"/>
      <c r="KYC122" s="69"/>
      <c r="KYD122" s="69"/>
      <c r="KYE122" s="69"/>
      <c r="KYF122" s="69"/>
      <c r="KYG122" s="69"/>
      <c r="KYH122" s="69"/>
      <c r="KYI122" s="69"/>
      <c r="KYJ122" s="69"/>
      <c r="KYK122" s="69"/>
      <c r="KYL122" s="69"/>
      <c r="KYM122" s="69"/>
      <c r="KYN122" s="69"/>
      <c r="KYO122" s="69"/>
      <c r="KYP122" s="69"/>
      <c r="KYQ122" s="69"/>
      <c r="KYR122" s="69"/>
      <c r="KYS122" s="69"/>
      <c r="KYT122" s="69"/>
      <c r="KYU122" s="69"/>
      <c r="KYV122" s="69"/>
      <c r="KYW122" s="69"/>
      <c r="KYX122" s="69"/>
      <c r="KYY122" s="69"/>
      <c r="KYZ122" s="69"/>
      <c r="KZA122" s="69"/>
      <c r="KZB122" s="69"/>
      <c r="KZC122" s="69"/>
      <c r="KZD122" s="69"/>
      <c r="KZE122" s="69"/>
      <c r="KZF122" s="69"/>
      <c r="KZG122" s="69"/>
      <c r="KZH122" s="69"/>
      <c r="KZI122" s="69"/>
      <c r="KZJ122" s="69"/>
      <c r="KZK122" s="69"/>
      <c r="KZL122" s="69"/>
      <c r="KZM122" s="69"/>
      <c r="KZN122" s="69"/>
      <c r="KZO122" s="69"/>
      <c r="KZP122" s="69"/>
      <c r="KZQ122" s="69"/>
      <c r="KZR122" s="69"/>
      <c r="KZS122" s="69"/>
      <c r="KZT122" s="69"/>
      <c r="KZU122" s="69"/>
      <c r="KZV122" s="69"/>
      <c r="KZW122" s="69"/>
      <c r="KZX122" s="69"/>
      <c r="KZY122" s="69"/>
      <c r="KZZ122" s="69"/>
      <c r="LAA122" s="69"/>
      <c r="LAB122" s="69"/>
      <c r="LAC122" s="69"/>
      <c r="LAD122" s="69"/>
      <c r="LAE122" s="69"/>
      <c r="LAF122" s="69"/>
      <c r="LAG122" s="69"/>
      <c r="LAH122" s="69"/>
      <c r="LAI122" s="69"/>
      <c r="LAJ122" s="69"/>
      <c r="LAK122" s="69"/>
      <c r="LAL122" s="69"/>
      <c r="LAM122" s="69"/>
      <c r="LAN122" s="69"/>
      <c r="LAO122" s="69"/>
      <c r="LAP122" s="69"/>
      <c r="LAQ122" s="69"/>
      <c r="LAR122" s="69"/>
      <c r="LAS122" s="69"/>
      <c r="LAT122" s="69"/>
      <c r="LAU122" s="69"/>
      <c r="LAV122" s="69"/>
      <c r="LAW122" s="69"/>
      <c r="LAX122" s="69"/>
      <c r="LAY122" s="69"/>
      <c r="LAZ122" s="69"/>
      <c r="LBA122" s="69"/>
      <c r="LBB122" s="69"/>
      <c r="LBC122" s="69"/>
      <c r="LBD122" s="69"/>
      <c r="LBE122" s="69"/>
      <c r="LBF122" s="69"/>
      <c r="LBG122" s="69"/>
      <c r="LBH122" s="69"/>
      <c r="LBI122" s="69"/>
      <c r="LBJ122" s="69"/>
      <c r="LBK122" s="69"/>
      <c r="LBL122" s="69"/>
      <c r="LBM122" s="69"/>
      <c r="LBN122" s="69"/>
      <c r="LBO122" s="69"/>
      <c r="LBP122" s="69"/>
      <c r="LBQ122" s="69"/>
      <c r="LBR122" s="69"/>
      <c r="LBS122" s="69"/>
      <c r="LBT122" s="69"/>
      <c r="LBU122" s="69"/>
      <c r="LBV122" s="69"/>
      <c r="LBW122" s="69"/>
      <c r="LBX122" s="69"/>
      <c r="LBY122" s="69"/>
      <c r="LBZ122" s="69"/>
      <c r="LCA122" s="69"/>
      <c r="LCB122" s="69"/>
      <c r="LCC122" s="69"/>
      <c r="LCD122" s="69"/>
      <c r="LCE122" s="69"/>
      <c r="LCF122" s="69"/>
      <c r="LCG122" s="69"/>
      <c r="LCH122" s="69"/>
      <c r="LCI122" s="69"/>
      <c r="LCJ122" s="69"/>
      <c r="LCK122" s="69"/>
      <c r="LCL122" s="69"/>
      <c r="LCM122" s="69"/>
      <c r="LCN122" s="69"/>
      <c r="LCO122" s="69"/>
      <c r="LCP122" s="69"/>
      <c r="LCQ122" s="69"/>
      <c r="LCR122" s="69"/>
      <c r="LCS122" s="69"/>
      <c r="LCT122" s="69"/>
      <c r="LCU122" s="69"/>
      <c r="LCV122" s="69"/>
      <c r="LCW122" s="69"/>
      <c r="LCX122" s="69"/>
      <c r="LCY122" s="69"/>
      <c r="LCZ122" s="69"/>
      <c r="LDA122" s="69"/>
      <c r="LDB122" s="69"/>
      <c r="LDC122" s="69"/>
      <c r="LDD122" s="69"/>
      <c r="LDE122" s="69"/>
      <c r="LDF122" s="69"/>
      <c r="LDG122" s="69"/>
      <c r="LDH122" s="69"/>
      <c r="LDI122" s="69"/>
      <c r="LDJ122" s="69"/>
      <c r="LDK122" s="69"/>
      <c r="LDL122" s="69"/>
      <c r="LDM122" s="69"/>
      <c r="LDN122" s="69"/>
      <c r="LDO122" s="69"/>
      <c r="LDP122" s="69"/>
      <c r="LDQ122" s="69"/>
      <c r="LDR122" s="69"/>
      <c r="LDS122" s="69"/>
      <c r="LDT122" s="69"/>
      <c r="LDU122" s="69"/>
      <c r="LDV122" s="69"/>
      <c r="LDW122" s="69"/>
      <c r="LDX122" s="69"/>
      <c r="LDY122" s="69"/>
      <c r="LDZ122" s="69"/>
      <c r="LEA122" s="69"/>
      <c r="LEB122" s="69"/>
      <c r="LEC122" s="69"/>
      <c r="LED122" s="69"/>
      <c r="LEE122" s="69"/>
      <c r="LEF122" s="69"/>
      <c r="LEG122" s="69"/>
      <c r="LEH122" s="69"/>
      <c r="LEI122" s="69"/>
      <c r="LEJ122" s="69"/>
      <c r="LEK122" s="69"/>
      <c r="LEL122" s="69"/>
      <c r="LEM122" s="69"/>
      <c r="LEN122" s="69"/>
      <c r="LEO122" s="69"/>
      <c r="LEP122" s="69"/>
      <c r="LEQ122" s="69"/>
      <c r="LER122" s="69"/>
      <c r="LES122" s="69"/>
      <c r="LET122" s="69"/>
      <c r="LEU122" s="69"/>
      <c r="LEV122" s="69"/>
      <c r="LEW122" s="69"/>
      <c r="LEX122" s="69"/>
      <c r="LEY122" s="69"/>
      <c r="LEZ122" s="69"/>
      <c r="LFA122" s="69"/>
      <c r="LFB122" s="69"/>
      <c r="LFC122" s="69"/>
      <c r="LFD122" s="69"/>
      <c r="LFE122" s="69"/>
      <c r="LFF122" s="69"/>
      <c r="LFG122" s="69"/>
      <c r="LFH122" s="69"/>
      <c r="LFI122" s="69"/>
      <c r="LFJ122" s="69"/>
      <c r="LFK122" s="69"/>
      <c r="LFL122" s="69"/>
      <c r="LFM122" s="69"/>
      <c r="LFN122" s="69"/>
      <c r="LFO122" s="69"/>
      <c r="LFP122" s="69"/>
      <c r="LFQ122" s="69"/>
      <c r="LFR122" s="69"/>
      <c r="LFS122" s="69"/>
      <c r="LFT122" s="69"/>
      <c r="LFU122" s="69"/>
      <c r="LFV122" s="69"/>
      <c r="LFW122" s="69"/>
      <c r="LFX122" s="69"/>
      <c r="LFY122" s="69"/>
      <c r="LFZ122" s="69"/>
      <c r="LGA122" s="69"/>
      <c r="LGB122" s="69"/>
      <c r="LGC122" s="69"/>
      <c r="LGD122" s="69"/>
      <c r="LGE122" s="69"/>
      <c r="LGF122" s="69"/>
      <c r="LGG122" s="69"/>
      <c r="LGH122" s="69"/>
      <c r="LGI122" s="69"/>
      <c r="LGJ122" s="69"/>
      <c r="LGK122" s="69"/>
      <c r="LGL122" s="69"/>
      <c r="LGM122" s="69"/>
      <c r="LGN122" s="69"/>
      <c r="LGO122" s="69"/>
      <c r="LGP122" s="69"/>
      <c r="LGQ122" s="69"/>
      <c r="LGR122" s="69"/>
      <c r="LGS122" s="69"/>
      <c r="LGT122" s="69"/>
      <c r="LGU122" s="69"/>
      <c r="LGV122" s="69"/>
      <c r="LGW122" s="69"/>
      <c r="LGX122" s="69"/>
      <c r="LGY122" s="69"/>
      <c r="LGZ122" s="69"/>
      <c r="LHA122" s="69"/>
      <c r="LHB122" s="69"/>
      <c r="LHC122" s="69"/>
      <c r="LHD122" s="69"/>
      <c r="LHE122" s="69"/>
      <c r="LHF122" s="69"/>
      <c r="LHG122" s="69"/>
      <c r="LHH122" s="69"/>
      <c r="LHI122" s="69"/>
      <c r="LHJ122" s="69"/>
      <c r="LHK122" s="69"/>
      <c r="LHL122" s="69"/>
      <c r="LHM122" s="69"/>
      <c r="LHN122" s="69"/>
      <c r="LHO122" s="69"/>
      <c r="LHP122" s="69"/>
      <c r="LHQ122" s="69"/>
      <c r="LHR122" s="69"/>
      <c r="LHS122" s="69"/>
      <c r="LHT122" s="69"/>
      <c r="LHU122" s="69"/>
      <c r="LHV122" s="69"/>
      <c r="LHW122" s="69"/>
      <c r="LHX122" s="69"/>
      <c r="LHY122" s="69"/>
      <c r="LHZ122" s="69"/>
      <c r="LIA122" s="69"/>
      <c r="LIB122" s="69"/>
      <c r="LIC122" s="69"/>
      <c r="LID122" s="69"/>
      <c r="LIE122" s="69"/>
      <c r="LIF122" s="69"/>
      <c r="LIG122" s="69"/>
      <c r="LIH122" s="69"/>
      <c r="LII122" s="69"/>
      <c r="LIJ122" s="69"/>
      <c r="LIK122" s="69"/>
      <c r="LIL122" s="69"/>
      <c r="LIM122" s="69"/>
      <c r="LIN122" s="69"/>
      <c r="LIO122" s="69"/>
      <c r="LIP122" s="69"/>
      <c r="LIQ122" s="69"/>
      <c r="LIR122" s="69"/>
      <c r="LIS122" s="69"/>
      <c r="LIT122" s="69"/>
      <c r="LIU122" s="69"/>
      <c r="LIV122" s="69"/>
      <c r="LIW122" s="69"/>
      <c r="LIX122" s="69"/>
      <c r="LIY122" s="69"/>
      <c r="LIZ122" s="69"/>
      <c r="LJA122" s="69"/>
      <c r="LJB122" s="69"/>
      <c r="LJC122" s="69"/>
      <c r="LJD122" s="69"/>
      <c r="LJE122" s="69"/>
      <c r="LJF122" s="69"/>
      <c r="LJG122" s="69"/>
      <c r="LJH122" s="69"/>
      <c r="LJI122" s="69"/>
      <c r="LJJ122" s="69"/>
      <c r="LJK122" s="69"/>
      <c r="LJL122" s="69"/>
      <c r="LJM122" s="69"/>
      <c r="LJN122" s="69"/>
      <c r="LJO122" s="69"/>
      <c r="LJP122" s="69"/>
      <c r="LJQ122" s="69"/>
      <c r="LJR122" s="69"/>
      <c r="LJS122" s="69"/>
      <c r="LJT122" s="69"/>
      <c r="LJU122" s="69"/>
      <c r="LJV122" s="69"/>
      <c r="LJW122" s="69"/>
      <c r="LJX122" s="69"/>
      <c r="LJY122" s="69"/>
      <c r="LJZ122" s="69"/>
      <c r="LKA122" s="69"/>
      <c r="LKB122" s="69"/>
      <c r="LKC122" s="69"/>
      <c r="LKD122" s="69"/>
      <c r="LKE122" s="69"/>
      <c r="LKF122" s="69"/>
      <c r="LKG122" s="69"/>
      <c r="LKH122" s="69"/>
      <c r="LKI122" s="69"/>
      <c r="LKJ122" s="69"/>
      <c r="LKK122" s="69"/>
      <c r="LKL122" s="69"/>
      <c r="LKM122" s="69"/>
      <c r="LKN122" s="69"/>
      <c r="LKO122" s="69"/>
      <c r="LKP122" s="69"/>
      <c r="LKQ122" s="69"/>
      <c r="LKR122" s="69"/>
      <c r="LKS122" s="69"/>
      <c r="LKT122" s="69"/>
      <c r="LKU122" s="69"/>
      <c r="LKV122" s="69"/>
      <c r="LKW122" s="69"/>
      <c r="LKX122" s="69"/>
      <c r="LKY122" s="69"/>
      <c r="LKZ122" s="69"/>
      <c r="LLA122" s="69"/>
      <c r="LLB122" s="69"/>
      <c r="LLC122" s="69"/>
      <c r="LLD122" s="69"/>
      <c r="LLE122" s="69"/>
      <c r="LLF122" s="69"/>
      <c r="LLG122" s="69"/>
      <c r="LLH122" s="69"/>
      <c r="LLI122" s="69"/>
      <c r="LLJ122" s="69"/>
      <c r="LLK122" s="69"/>
      <c r="LLL122" s="69"/>
      <c r="LLM122" s="69"/>
      <c r="LLN122" s="69"/>
      <c r="LLO122" s="69"/>
      <c r="LLP122" s="69"/>
      <c r="LLQ122" s="69"/>
      <c r="LLR122" s="69"/>
      <c r="LLS122" s="69"/>
      <c r="LLT122" s="69"/>
      <c r="LLU122" s="69"/>
      <c r="LLV122" s="69"/>
      <c r="LLW122" s="69"/>
      <c r="LLX122" s="69"/>
      <c r="LLY122" s="69"/>
      <c r="LLZ122" s="69"/>
      <c r="LMA122" s="69"/>
      <c r="LMB122" s="69"/>
      <c r="LMC122" s="69"/>
      <c r="LMD122" s="69"/>
      <c r="LME122" s="69"/>
      <c r="LMF122" s="69"/>
      <c r="LMG122" s="69"/>
      <c r="LMH122" s="69"/>
      <c r="LMI122" s="69"/>
      <c r="LMJ122" s="69"/>
      <c r="LMK122" s="69"/>
      <c r="LML122" s="69"/>
      <c r="LMM122" s="69"/>
      <c r="LMN122" s="69"/>
      <c r="LMO122" s="69"/>
      <c r="LMP122" s="69"/>
      <c r="LMQ122" s="69"/>
      <c r="LMR122" s="69"/>
      <c r="LMS122" s="69"/>
      <c r="LMT122" s="69"/>
      <c r="LMU122" s="69"/>
      <c r="LMV122" s="69"/>
      <c r="LMW122" s="69"/>
      <c r="LMX122" s="69"/>
      <c r="LMY122" s="69"/>
      <c r="LMZ122" s="69"/>
      <c r="LNA122" s="69"/>
      <c r="LNB122" s="69"/>
      <c r="LNC122" s="69"/>
      <c r="LND122" s="69"/>
      <c r="LNE122" s="69"/>
      <c r="LNF122" s="69"/>
      <c r="LNG122" s="69"/>
      <c r="LNH122" s="69"/>
      <c r="LNI122" s="69"/>
      <c r="LNJ122" s="69"/>
      <c r="LNK122" s="69"/>
      <c r="LNL122" s="69"/>
      <c r="LNM122" s="69"/>
      <c r="LNN122" s="69"/>
      <c r="LNO122" s="69"/>
      <c r="LNP122" s="69"/>
      <c r="LNQ122" s="69"/>
      <c r="LNR122" s="69"/>
      <c r="LNS122" s="69"/>
      <c r="LNT122" s="69"/>
      <c r="LNU122" s="69"/>
      <c r="LNV122" s="69"/>
      <c r="LNW122" s="69"/>
      <c r="LNX122" s="69"/>
      <c r="LNY122" s="69"/>
      <c r="LNZ122" s="69"/>
      <c r="LOA122" s="69"/>
      <c r="LOB122" s="69"/>
      <c r="LOC122" s="69"/>
      <c r="LOD122" s="69"/>
      <c r="LOE122" s="69"/>
      <c r="LOF122" s="69"/>
      <c r="LOG122" s="69"/>
      <c r="LOH122" s="69"/>
      <c r="LOI122" s="69"/>
      <c r="LOJ122" s="69"/>
      <c r="LOK122" s="69"/>
      <c r="LOL122" s="69"/>
      <c r="LOM122" s="69"/>
      <c r="LON122" s="69"/>
      <c r="LOO122" s="69"/>
      <c r="LOP122" s="69"/>
      <c r="LOQ122" s="69"/>
      <c r="LOR122" s="69"/>
      <c r="LOS122" s="69"/>
      <c r="LOT122" s="69"/>
      <c r="LOU122" s="69"/>
      <c r="LOV122" s="69"/>
      <c r="LOW122" s="69"/>
      <c r="LOX122" s="69"/>
      <c r="LOY122" s="69"/>
      <c r="LOZ122" s="69"/>
      <c r="LPA122" s="69"/>
      <c r="LPB122" s="69"/>
      <c r="LPC122" s="69"/>
      <c r="LPD122" s="69"/>
      <c r="LPE122" s="69"/>
      <c r="LPF122" s="69"/>
      <c r="LPG122" s="69"/>
      <c r="LPH122" s="69"/>
      <c r="LPI122" s="69"/>
      <c r="LPJ122" s="69"/>
      <c r="LPK122" s="69"/>
      <c r="LPL122" s="69"/>
      <c r="LPM122" s="69"/>
      <c r="LPN122" s="69"/>
      <c r="LPO122" s="69"/>
      <c r="LPP122" s="69"/>
      <c r="LPQ122" s="69"/>
      <c r="LPR122" s="69"/>
      <c r="LPS122" s="69"/>
      <c r="LPT122" s="69"/>
      <c r="LPU122" s="69"/>
      <c r="LPV122" s="69"/>
      <c r="LPW122" s="69"/>
      <c r="LPX122" s="69"/>
      <c r="LPY122" s="69"/>
      <c r="LPZ122" s="69"/>
      <c r="LQA122" s="69"/>
      <c r="LQB122" s="69"/>
      <c r="LQC122" s="69"/>
      <c r="LQD122" s="69"/>
      <c r="LQE122" s="69"/>
      <c r="LQF122" s="69"/>
      <c r="LQG122" s="69"/>
      <c r="LQH122" s="69"/>
      <c r="LQI122" s="69"/>
      <c r="LQJ122" s="69"/>
      <c r="LQK122" s="69"/>
      <c r="LQL122" s="69"/>
      <c r="LQM122" s="69"/>
      <c r="LQN122" s="69"/>
      <c r="LQO122" s="69"/>
      <c r="LQP122" s="69"/>
      <c r="LQQ122" s="69"/>
      <c r="LQR122" s="69"/>
      <c r="LQS122" s="69"/>
      <c r="LQT122" s="69"/>
      <c r="LQU122" s="69"/>
      <c r="LQV122" s="69"/>
      <c r="LQW122" s="69"/>
      <c r="LQX122" s="69"/>
      <c r="LQY122" s="69"/>
      <c r="LQZ122" s="69"/>
      <c r="LRA122" s="69"/>
      <c r="LRB122" s="69"/>
      <c r="LRC122" s="69"/>
      <c r="LRD122" s="69"/>
      <c r="LRE122" s="69"/>
      <c r="LRF122" s="69"/>
      <c r="LRG122" s="69"/>
      <c r="LRH122" s="69"/>
      <c r="LRI122" s="69"/>
      <c r="LRJ122" s="69"/>
      <c r="LRK122" s="69"/>
      <c r="LRL122" s="69"/>
      <c r="LRM122" s="69"/>
      <c r="LRN122" s="69"/>
      <c r="LRO122" s="69"/>
      <c r="LRP122" s="69"/>
      <c r="LRQ122" s="69"/>
      <c r="LRR122" s="69"/>
      <c r="LRS122" s="69"/>
      <c r="LRT122" s="69"/>
      <c r="LRU122" s="69"/>
      <c r="LRV122" s="69"/>
      <c r="LRW122" s="69"/>
      <c r="LRX122" s="69"/>
      <c r="LRY122" s="69"/>
      <c r="LRZ122" s="69"/>
      <c r="LSA122" s="69"/>
      <c r="LSB122" s="69"/>
      <c r="LSC122" s="69"/>
      <c r="LSD122" s="69"/>
      <c r="LSE122" s="69"/>
      <c r="LSF122" s="69"/>
      <c r="LSG122" s="69"/>
      <c r="LSH122" s="69"/>
      <c r="LSI122" s="69"/>
      <c r="LSJ122" s="69"/>
      <c r="LSK122" s="69"/>
      <c r="LSL122" s="69"/>
      <c r="LSM122" s="69"/>
      <c r="LSN122" s="69"/>
      <c r="LSO122" s="69"/>
      <c r="LSP122" s="69"/>
      <c r="LSQ122" s="69"/>
      <c r="LSR122" s="69"/>
      <c r="LSS122" s="69"/>
      <c r="LST122" s="69"/>
      <c r="LSU122" s="69"/>
      <c r="LSV122" s="69"/>
      <c r="LSW122" s="69"/>
      <c r="LSX122" s="69"/>
      <c r="LSY122" s="69"/>
      <c r="LSZ122" s="69"/>
      <c r="LTA122" s="69"/>
      <c r="LTB122" s="69"/>
      <c r="LTC122" s="69"/>
      <c r="LTD122" s="69"/>
      <c r="LTE122" s="69"/>
      <c r="LTF122" s="69"/>
      <c r="LTG122" s="69"/>
      <c r="LTH122" s="69"/>
      <c r="LTI122" s="69"/>
      <c r="LTJ122" s="69"/>
      <c r="LTK122" s="69"/>
      <c r="LTL122" s="69"/>
      <c r="LTM122" s="69"/>
      <c r="LTN122" s="69"/>
      <c r="LTO122" s="69"/>
      <c r="LTP122" s="69"/>
      <c r="LTQ122" s="69"/>
      <c r="LTR122" s="69"/>
      <c r="LTS122" s="69"/>
      <c r="LTT122" s="69"/>
      <c r="LTU122" s="69"/>
      <c r="LTV122" s="69"/>
      <c r="LTW122" s="69"/>
      <c r="LTX122" s="69"/>
      <c r="LTY122" s="69"/>
      <c r="LTZ122" s="69"/>
      <c r="LUA122" s="69"/>
      <c r="LUB122" s="69"/>
      <c r="LUC122" s="69"/>
      <c r="LUD122" s="69"/>
      <c r="LUE122" s="69"/>
      <c r="LUF122" s="69"/>
      <c r="LUG122" s="69"/>
      <c r="LUH122" s="69"/>
      <c r="LUI122" s="69"/>
      <c r="LUJ122" s="69"/>
      <c r="LUK122" s="69"/>
      <c r="LUL122" s="69"/>
      <c r="LUM122" s="69"/>
      <c r="LUN122" s="69"/>
      <c r="LUO122" s="69"/>
      <c r="LUP122" s="69"/>
      <c r="LUQ122" s="69"/>
      <c r="LUR122" s="69"/>
      <c r="LUS122" s="69"/>
      <c r="LUT122" s="69"/>
      <c r="LUU122" s="69"/>
      <c r="LUV122" s="69"/>
      <c r="LUW122" s="69"/>
      <c r="LUX122" s="69"/>
      <c r="LUY122" s="69"/>
      <c r="LUZ122" s="69"/>
      <c r="LVA122" s="69"/>
      <c r="LVB122" s="69"/>
      <c r="LVC122" s="69"/>
      <c r="LVD122" s="69"/>
      <c r="LVE122" s="69"/>
      <c r="LVF122" s="69"/>
      <c r="LVG122" s="69"/>
      <c r="LVH122" s="69"/>
      <c r="LVI122" s="69"/>
      <c r="LVJ122" s="69"/>
      <c r="LVK122" s="69"/>
      <c r="LVL122" s="69"/>
      <c r="LVM122" s="69"/>
      <c r="LVN122" s="69"/>
      <c r="LVO122" s="69"/>
      <c r="LVP122" s="69"/>
      <c r="LVQ122" s="69"/>
      <c r="LVR122" s="69"/>
      <c r="LVS122" s="69"/>
      <c r="LVT122" s="69"/>
      <c r="LVU122" s="69"/>
      <c r="LVV122" s="69"/>
      <c r="LVW122" s="69"/>
      <c r="LVX122" s="69"/>
      <c r="LVY122" s="69"/>
      <c r="LVZ122" s="69"/>
      <c r="LWA122" s="69"/>
      <c r="LWB122" s="69"/>
      <c r="LWC122" s="69"/>
      <c r="LWD122" s="69"/>
      <c r="LWE122" s="69"/>
      <c r="LWF122" s="69"/>
      <c r="LWG122" s="69"/>
      <c r="LWH122" s="69"/>
      <c r="LWI122" s="69"/>
      <c r="LWJ122" s="69"/>
      <c r="LWK122" s="69"/>
      <c r="LWL122" s="69"/>
      <c r="LWM122" s="69"/>
      <c r="LWN122" s="69"/>
      <c r="LWO122" s="69"/>
      <c r="LWP122" s="69"/>
      <c r="LWQ122" s="69"/>
      <c r="LWR122" s="69"/>
      <c r="LWS122" s="69"/>
      <c r="LWT122" s="69"/>
      <c r="LWU122" s="69"/>
      <c r="LWV122" s="69"/>
      <c r="LWW122" s="69"/>
      <c r="LWX122" s="69"/>
      <c r="LWY122" s="69"/>
      <c r="LWZ122" s="69"/>
      <c r="LXA122" s="69"/>
      <c r="LXB122" s="69"/>
      <c r="LXC122" s="69"/>
      <c r="LXD122" s="69"/>
      <c r="LXE122" s="69"/>
      <c r="LXF122" s="69"/>
      <c r="LXG122" s="69"/>
      <c r="LXH122" s="69"/>
      <c r="LXI122" s="69"/>
      <c r="LXJ122" s="69"/>
      <c r="LXK122" s="69"/>
      <c r="LXL122" s="69"/>
      <c r="LXM122" s="69"/>
      <c r="LXN122" s="69"/>
      <c r="LXO122" s="69"/>
      <c r="LXP122" s="69"/>
      <c r="LXQ122" s="69"/>
      <c r="LXR122" s="69"/>
      <c r="LXS122" s="69"/>
      <c r="LXT122" s="69"/>
      <c r="LXU122" s="69"/>
      <c r="LXV122" s="69"/>
      <c r="LXW122" s="69"/>
      <c r="LXX122" s="69"/>
      <c r="LXY122" s="69"/>
      <c r="LXZ122" s="69"/>
      <c r="LYA122" s="69"/>
      <c r="LYB122" s="69"/>
      <c r="LYC122" s="69"/>
      <c r="LYD122" s="69"/>
      <c r="LYE122" s="69"/>
      <c r="LYF122" s="69"/>
      <c r="LYG122" s="69"/>
      <c r="LYH122" s="69"/>
      <c r="LYI122" s="69"/>
      <c r="LYJ122" s="69"/>
      <c r="LYK122" s="69"/>
      <c r="LYL122" s="69"/>
      <c r="LYM122" s="69"/>
      <c r="LYN122" s="69"/>
      <c r="LYO122" s="69"/>
      <c r="LYP122" s="69"/>
      <c r="LYQ122" s="69"/>
      <c r="LYR122" s="69"/>
      <c r="LYS122" s="69"/>
      <c r="LYT122" s="69"/>
      <c r="LYU122" s="69"/>
      <c r="LYV122" s="69"/>
      <c r="LYW122" s="69"/>
      <c r="LYX122" s="69"/>
      <c r="LYY122" s="69"/>
      <c r="LYZ122" s="69"/>
      <c r="LZA122" s="69"/>
      <c r="LZB122" s="69"/>
      <c r="LZC122" s="69"/>
      <c r="LZD122" s="69"/>
      <c r="LZE122" s="69"/>
      <c r="LZF122" s="69"/>
      <c r="LZG122" s="69"/>
      <c r="LZH122" s="69"/>
      <c r="LZI122" s="69"/>
      <c r="LZJ122" s="69"/>
      <c r="LZK122" s="69"/>
      <c r="LZL122" s="69"/>
      <c r="LZM122" s="69"/>
      <c r="LZN122" s="69"/>
      <c r="LZO122" s="69"/>
      <c r="LZP122" s="69"/>
      <c r="LZQ122" s="69"/>
      <c r="LZR122" s="69"/>
      <c r="LZS122" s="69"/>
      <c r="LZT122" s="69"/>
      <c r="LZU122" s="69"/>
      <c r="LZV122" s="69"/>
      <c r="LZW122" s="69"/>
      <c r="LZX122" s="69"/>
      <c r="LZY122" s="69"/>
      <c r="LZZ122" s="69"/>
      <c r="MAA122" s="69"/>
      <c r="MAB122" s="69"/>
      <c r="MAC122" s="69"/>
      <c r="MAD122" s="69"/>
      <c r="MAE122" s="69"/>
      <c r="MAF122" s="69"/>
      <c r="MAG122" s="69"/>
      <c r="MAH122" s="69"/>
      <c r="MAI122" s="69"/>
      <c r="MAJ122" s="69"/>
      <c r="MAK122" s="69"/>
      <c r="MAL122" s="69"/>
      <c r="MAM122" s="69"/>
      <c r="MAN122" s="69"/>
      <c r="MAO122" s="69"/>
      <c r="MAP122" s="69"/>
      <c r="MAQ122" s="69"/>
      <c r="MAR122" s="69"/>
      <c r="MAS122" s="69"/>
      <c r="MAT122" s="69"/>
      <c r="MAU122" s="69"/>
      <c r="MAV122" s="69"/>
      <c r="MAW122" s="69"/>
      <c r="MAX122" s="69"/>
      <c r="MAY122" s="69"/>
      <c r="MAZ122" s="69"/>
      <c r="MBA122" s="69"/>
      <c r="MBB122" s="69"/>
      <c r="MBC122" s="69"/>
      <c r="MBD122" s="69"/>
      <c r="MBE122" s="69"/>
      <c r="MBF122" s="69"/>
      <c r="MBG122" s="69"/>
      <c r="MBH122" s="69"/>
      <c r="MBI122" s="69"/>
      <c r="MBJ122" s="69"/>
      <c r="MBK122" s="69"/>
      <c r="MBL122" s="69"/>
      <c r="MBM122" s="69"/>
      <c r="MBN122" s="69"/>
      <c r="MBO122" s="69"/>
      <c r="MBP122" s="69"/>
      <c r="MBQ122" s="69"/>
      <c r="MBR122" s="69"/>
      <c r="MBS122" s="69"/>
      <c r="MBT122" s="69"/>
      <c r="MBU122" s="69"/>
      <c r="MBV122" s="69"/>
      <c r="MBW122" s="69"/>
      <c r="MBX122" s="69"/>
      <c r="MBY122" s="69"/>
      <c r="MBZ122" s="69"/>
      <c r="MCA122" s="69"/>
      <c r="MCB122" s="69"/>
      <c r="MCC122" s="69"/>
      <c r="MCD122" s="69"/>
      <c r="MCE122" s="69"/>
      <c r="MCF122" s="69"/>
      <c r="MCG122" s="69"/>
      <c r="MCH122" s="69"/>
      <c r="MCI122" s="69"/>
      <c r="MCJ122" s="69"/>
      <c r="MCK122" s="69"/>
      <c r="MCL122" s="69"/>
      <c r="MCM122" s="69"/>
      <c r="MCN122" s="69"/>
      <c r="MCO122" s="69"/>
      <c r="MCP122" s="69"/>
      <c r="MCQ122" s="69"/>
      <c r="MCR122" s="69"/>
      <c r="MCS122" s="69"/>
      <c r="MCT122" s="69"/>
      <c r="MCU122" s="69"/>
      <c r="MCV122" s="69"/>
      <c r="MCW122" s="69"/>
      <c r="MCX122" s="69"/>
      <c r="MCY122" s="69"/>
      <c r="MCZ122" s="69"/>
      <c r="MDA122" s="69"/>
      <c r="MDB122" s="69"/>
      <c r="MDC122" s="69"/>
      <c r="MDD122" s="69"/>
      <c r="MDE122" s="69"/>
      <c r="MDF122" s="69"/>
      <c r="MDG122" s="69"/>
      <c r="MDH122" s="69"/>
      <c r="MDI122" s="69"/>
      <c r="MDJ122" s="69"/>
      <c r="MDK122" s="69"/>
      <c r="MDL122" s="69"/>
      <c r="MDM122" s="69"/>
      <c r="MDN122" s="69"/>
      <c r="MDO122" s="69"/>
      <c r="MDP122" s="69"/>
      <c r="MDQ122" s="69"/>
      <c r="MDR122" s="69"/>
      <c r="MDS122" s="69"/>
      <c r="MDT122" s="69"/>
      <c r="MDU122" s="69"/>
      <c r="MDV122" s="69"/>
      <c r="MDW122" s="69"/>
      <c r="MDX122" s="69"/>
      <c r="MDY122" s="69"/>
      <c r="MDZ122" s="69"/>
      <c r="MEA122" s="69"/>
      <c r="MEB122" s="69"/>
      <c r="MEC122" s="69"/>
      <c r="MED122" s="69"/>
      <c r="MEE122" s="69"/>
      <c r="MEF122" s="69"/>
      <c r="MEG122" s="69"/>
      <c r="MEH122" s="69"/>
      <c r="MEI122" s="69"/>
      <c r="MEJ122" s="69"/>
      <c r="MEK122" s="69"/>
      <c r="MEL122" s="69"/>
      <c r="MEM122" s="69"/>
      <c r="MEN122" s="69"/>
      <c r="MEO122" s="69"/>
      <c r="MEP122" s="69"/>
      <c r="MEQ122" s="69"/>
      <c r="MER122" s="69"/>
      <c r="MES122" s="69"/>
      <c r="MET122" s="69"/>
      <c r="MEU122" s="69"/>
      <c r="MEV122" s="69"/>
      <c r="MEW122" s="69"/>
      <c r="MEX122" s="69"/>
      <c r="MEY122" s="69"/>
      <c r="MEZ122" s="69"/>
      <c r="MFA122" s="69"/>
      <c r="MFB122" s="69"/>
      <c r="MFC122" s="69"/>
      <c r="MFD122" s="69"/>
      <c r="MFE122" s="69"/>
      <c r="MFF122" s="69"/>
      <c r="MFG122" s="69"/>
      <c r="MFH122" s="69"/>
      <c r="MFI122" s="69"/>
      <c r="MFJ122" s="69"/>
      <c r="MFK122" s="69"/>
      <c r="MFL122" s="69"/>
      <c r="MFM122" s="69"/>
      <c r="MFN122" s="69"/>
      <c r="MFO122" s="69"/>
      <c r="MFP122" s="69"/>
      <c r="MFQ122" s="69"/>
      <c r="MFR122" s="69"/>
      <c r="MFS122" s="69"/>
      <c r="MFT122" s="69"/>
      <c r="MFU122" s="69"/>
      <c r="MFV122" s="69"/>
      <c r="MFW122" s="69"/>
      <c r="MFX122" s="69"/>
      <c r="MFY122" s="69"/>
      <c r="MFZ122" s="69"/>
      <c r="MGA122" s="69"/>
      <c r="MGB122" s="69"/>
      <c r="MGC122" s="69"/>
      <c r="MGD122" s="69"/>
      <c r="MGE122" s="69"/>
      <c r="MGF122" s="69"/>
      <c r="MGG122" s="69"/>
      <c r="MGH122" s="69"/>
      <c r="MGI122" s="69"/>
      <c r="MGJ122" s="69"/>
      <c r="MGK122" s="69"/>
      <c r="MGL122" s="69"/>
      <c r="MGM122" s="69"/>
      <c r="MGN122" s="69"/>
      <c r="MGO122" s="69"/>
      <c r="MGP122" s="69"/>
      <c r="MGQ122" s="69"/>
      <c r="MGR122" s="69"/>
      <c r="MGS122" s="69"/>
      <c r="MGT122" s="69"/>
      <c r="MGU122" s="69"/>
      <c r="MGV122" s="69"/>
      <c r="MGW122" s="69"/>
      <c r="MGX122" s="69"/>
      <c r="MGY122" s="69"/>
      <c r="MGZ122" s="69"/>
      <c r="MHA122" s="69"/>
      <c r="MHB122" s="69"/>
      <c r="MHC122" s="69"/>
      <c r="MHD122" s="69"/>
      <c r="MHE122" s="69"/>
      <c r="MHF122" s="69"/>
      <c r="MHG122" s="69"/>
      <c r="MHH122" s="69"/>
      <c r="MHI122" s="69"/>
      <c r="MHJ122" s="69"/>
      <c r="MHK122" s="69"/>
      <c r="MHL122" s="69"/>
      <c r="MHM122" s="69"/>
      <c r="MHN122" s="69"/>
      <c r="MHO122" s="69"/>
      <c r="MHP122" s="69"/>
      <c r="MHQ122" s="69"/>
      <c r="MHR122" s="69"/>
      <c r="MHS122" s="69"/>
      <c r="MHT122" s="69"/>
      <c r="MHU122" s="69"/>
      <c r="MHV122" s="69"/>
      <c r="MHW122" s="69"/>
      <c r="MHX122" s="69"/>
      <c r="MHY122" s="69"/>
      <c r="MHZ122" s="69"/>
      <c r="MIA122" s="69"/>
      <c r="MIB122" s="69"/>
      <c r="MIC122" s="69"/>
      <c r="MID122" s="69"/>
      <c r="MIE122" s="69"/>
      <c r="MIF122" s="69"/>
      <c r="MIG122" s="69"/>
      <c r="MIH122" s="69"/>
      <c r="MII122" s="69"/>
      <c r="MIJ122" s="69"/>
      <c r="MIK122" s="69"/>
      <c r="MIL122" s="69"/>
      <c r="MIM122" s="69"/>
      <c r="MIN122" s="69"/>
      <c r="MIO122" s="69"/>
      <c r="MIP122" s="69"/>
      <c r="MIQ122" s="69"/>
      <c r="MIR122" s="69"/>
      <c r="MIS122" s="69"/>
      <c r="MIT122" s="69"/>
      <c r="MIU122" s="69"/>
      <c r="MIV122" s="69"/>
      <c r="MIW122" s="69"/>
      <c r="MIX122" s="69"/>
      <c r="MIY122" s="69"/>
      <c r="MIZ122" s="69"/>
      <c r="MJA122" s="69"/>
      <c r="MJB122" s="69"/>
      <c r="MJC122" s="69"/>
      <c r="MJD122" s="69"/>
      <c r="MJE122" s="69"/>
      <c r="MJF122" s="69"/>
      <c r="MJG122" s="69"/>
      <c r="MJH122" s="69"/>
      <c r="MJI122" s="69"/>
      <c r="MJJ122" s="69"/>
      <c r="MJK122" s="69"/>
      <c r="MJL122" s="69"/>
      <c r="MJM122" s="69"/>
      <c r="MJN122" s="69"/>
      <c r="MJO122" s="69"/>
      <c r="MJP122" s="69"/>
      <c r="MJQ122" s="69"/>
      <c r="MJR122" s="69"/>
      <c r="MJS122" s="69"/>
      <c r="MJT122" s="69"/>
      <c r="MJU122" s="69"/>
      <c r="MJV122" s="69"/>
      <c r="MJW122" s="69"/>
      <c r="MJX122" s="69"/>
      <c r="MJY122" s="69"/>
      <c r="MJZ122" s="69"/>
      <c r="MKA122" s="69"/>
      <c r="MKB122" s="69"/>
      <c r="MKC122" s="69"/>
      <c r="MKD122" s="69"/>
      <c r="MKE122" s="69"/>
      <c r="MKF122" s="69"/>
      <c r="MKG122" s="69"/>
      <c r="MKH122" s="69"/>
      <c r="MKI122" s="69"/>
      <c r="MKJ122" s="69"/>
      <c r="MKK122" s="69"/>
      <c r="MKL122" s="69"/>
      <c r="MKM122" s="69"/>
      <c r="MKN122" s="69"/>
      <c r="MKO122" s="69"/>
      <c r="MKP122" s="69"/>
      <c r="MKQ122" s="69"/>
      <c r="MKR122" s="69"/>
      <c r="MKS122" s="69"/>
      <c r="MKT122" s="69"/>
      <c r="MKU122" s="69"/>
      <c r="MKV122" s="69"/>
      <c r="MKW122" s="69"/>
      <c r="MKX122" s="69"/>
      <c r="MKY122" s="69"/>
      <c r="MKZ122" s="69"/>
      <c r="MLA122" s="69"/>
      <c r="MLB122" s="69"/>
      <c r="MLC122" s="69"/>
      <c r="MLD122" s="69"/>
      <c r="MLE122" s="69"/>
      <c r="MLF122" s="69"/>
      <c r="MLG122" s="69"/>
      <c r="MLH122" s="69"/>
      <c r="MLI122" s="69"/>
      <c r="MLJ122" s="69"/>
      <c r="MLK122" s="69"/>
      <c r="MLL122" s="69"/>
      <c r="MLM122" s="69"/>
      <c r="MLN122" s="69"/>
      <c r="MLO122" s="69"/>
      <c r="MLP122" s="69"/>
      <c r="MLQ122" s="69"/>
      <c r="MLR122" s="69"/>
      <c r="MLS122" s="69"/>
      <c r="MLT122" s="69"/>
      <c r="MLU122" s="69"/>
      <c r="MLV122" s="69"/>
      <c r="MLW122" s="69"/>
      <c r="MLX122" s="69"/>
      <c r="MLY122" s="69"/>
      <c r="MLZ122" s="69"/>
      <c r="MMA122" s="69"/>
      <c r="MMB122" s="69"/>
      <c r="MMC122" s="69"/>
      <c r="MMD122" s="69"/>
      <c r="MME122" s="69"/>
      <c r="MMF122" s="69"/>
      <c r="MMG122" s="69"/>
      <c r="MMH122" s="69"/>
      <c r="MMI122" s="69"/>
      <c r="MMJ122" s="69"/>
      <c r="MMK122" s="69"/>
      <c r="MML122" s="69"/>
      <c r="MMM122" s="69"/>
      <c r="MMN122" s="69"/>
      <c r="MMO122" s="69"/>
      <c r="MMP122" s="69"/>
      <c r="MMQ122" s="69"/>
      <c r="MMR122" s="69"/>
      <c r="MMS122" s="69"/>
      <c r="MMT122" s="69"/>
      <c r="MMU122" s="69"/>
      <c r="MMV122" s="69"/>
      <c r="MMW122" s="69"/>
      <c r="MMX122" s="69"/>
      <c r="MMY122" s="69"/>
      <c r="MMZ122" s="69"/>
      <c r="MNA122" s="69"/>
      <c r="MNB122" s="69"/>
      <c r="MNC122" s="69"/>
      <c r="MND122" s="69"/>
      <c r="MNE122" s="69"/>
      <c r="MNF122" s="69"/>
      <c r="MNG122" s="69"/>
      <c r="MNH122" s="69"/>
      <c r="MNI122" s="69"/>
      <c r="MNJ122" s="69"/>
      <c r="MNK122" s="69"/>
      <c r="MNL122" s="69"/>
      <c r="MNM122" s="69"/>
      <c r="MNN122" s="69"/>
      <c r="MNO122" s="69"/>
      <c r="MNP122" s="69"/>
      <c r="MNQ122" s="69"/>
      <c r="MNR122" s="69"/>
      <c r="MNS122" s="69"/>
      <c r="MNT122" s="69"/>
      <c r="MNU122" s="69"/>
      <c r="MNV122" s="69"/>
      <c r="MNW122" s="69"/>
      <c r="MNX122" s="69"/>
      <c r="MNY122" s="69"/>
      <c r="MNZ122" s="69"/>
      <c r="MOA122" s="69"/>
      <c r="MOB122" s="69"/>
      <c r="MOC122" s="69"/>
      <c r="MOD122" s="69"/>
      <c r="MOE122" s="69"/>
      <c r="MOF122" s="69"/>
      <c r="MOG122" s="69"/>
      <c r="MOH122" s="69"/>
      <c r="MOI122" s="69"/>
      <c r="MOJ122" s="69"/>
      <c r="MOK122" s="69"/>
      <c r="MOL122" s="69"/>
      <c r="MOM122" s="69"/>
      <c r="MON122" s="69"/>
      <c r="MOO122" s="69"/>
      <c r="MOP122" s="69"/>
      <c r="MOQ122" s="69"/>
      <c r="MOR122" s="69"/>
      <c r="MOS122" s="69"/>
      <c r="MOT122" s="69"/>
      <c r="MOU122" s="69"/>
      <c r="MOV122" s="69"/>
      <c r="MOW122" s="69"/>
      <c r="MOX122" s="69"/>
      <c r="MOY122" s="69"/>
      <c r="MOZ122" s="69"/>
      <c r="MPA122" s="69"/>
      <c r="MPB122" s="69"/>
      <c r="MPC122" s="69"/>
      <c r="MPD122" s="69"/>
      <c r="MPE122" s="69"/>
      <c r="MPF122" s="69"/>
      <c r="MPG122" s="69"/>
      <c r="MPH122" s="69"/>
      <c r="MPI122" s="69"/>
      <c r="MPJ122" s="69"/>
      <c r="MPK122" s="69"/>
      <c r="MPL122" s="69"/>
      <c r="MPM122" s="69"/>
      <c r="MPN122" s="69"/>
      <c r="MPO122" s="69"/>
      <c r="MPP122" s="69"/>
      <c r="MPQ122" s="69"/>
      <c r="MPR122" s="69"/>
      <c r="MPS122" s="69"/>
      <c r="MPT122" s="69"/>
      <c r="MPU122" s="69"/>
      <c r="MPV122" s="69"/>
      <c r="MPW122" s="69"/>
      <c r="MPX122" s="69"/>
      <c r="MPY122" s="69"/>
      <c r="MPZ122" s="69"/>
      <c r="MQA122" s="69"/>
      <c r="MQB122" s="69"/>
      <c r="MQC122" s="69"/>
      <c r="MQD122" s="69"/>
      <c r="MQE122" s="69"/>
      <c r="MQF122" s="69"/>
      <c r="MQG122" s="69"/>
      <c r="MQH122" s="69"/>
      <c r="MQI122" s="69"/>
      <c r="MQJ122" s="69"/>
      <c r="MQK122" s="69"/>
      <c r="MQL122" s="69"/>
      <c r="MQM122" s="69"/>
      <c r="MQN122" s="69"/>
      <c r="MQO122" s="69"/>
      <c r="MQP122" s="69"/>
      <c r="MQQ122" s="69"/>
      <c r="MQR122" s="69"/>
      <c r="MQS122" s="69"/>
      <c r="MQT122" s="69"/>
      <c r="MQU122" s="69"/>
      <c r="MQV122" s="69"/>
      <c r="MQW122" s="69"/>
      <c r="MQX122" s="69"/>
      <c r="MQY122" s="69"/>
      <c r="MQZ122" s="69"/>
      <c r="MRA122" s="69"/>
      <c r="MRB122" s="69"/>
      <c r="MRC122" s="69"/>
      <c r="MRD122" s="69"/>
      <c r="MRE122" s="69"/>
      <c r="MRF122" s="69"/>
      <c r="MRG122" s="69"/>
      <c r="MRH122" s="69"/>
      <c r="MRI122" s="69"/>
      <c r="MRJ122" s="69"/>
      <c r="MRK122" s="69"/>
      <c r="MRL122" s="69"/>
      <c r="MRM122" s="69"/>
      <c r="MRN122" s="69"/>
      <c r="MRO122" s="69"/>
      <c r="MRP122" s="69"/>
      <c r="MRQ122" s="69"/>
      <c r="MRR122" s="69"/>
      <c r="MRS122" s="69"/>
      <c r="MRT122" s="69"/>
      <c r="MRU122" s="69"/>
      <c r="MRV122" s="69"/>
      <c r="MRW122" s="69"/>
      <c r="MRX122" s="69"/>
      <c r="MRY122" s="69"/>
      <c r="MRZ122" s="69"/>
      <c r="MSA122" s="69"/>
      <c r="MSB122" s="69"/>
      <c r="MSC122" s="69"/>
      <c r="MSD122" s="69"/>
      <c r="MSE122" s="69"/>
      <c r="MSF122" s="69"/>
      <c r="MSG122" s="69"/>
      <c r="MSH122" s="69"/>
      <c r="MSI122" s="69"/>
      <c r="MSJ122" s="69"/>
      <c r="MSK122" s="69"/>
      <c r="MSL122" s="69"/>
      <c r="MSM122" s="69"/>
      <c r="MSN122" s="69"/>
      <c r="MSO122" s="69"/>
      <c r="MSP122" s="69"/>
      <c r="MSQ122" s="69"/>
      <c r="MSR122" s="69"/>
      <c r="MSS122" s="69"/>
      <c r="MST122" s="69"/>
      <c r="MSU122" s="69"/>
      <c r="MSV122" s="69"/>
      <c r="MSW122" s="69"/>
      <c r="MSX122" s="69"/>
      <c r="MSY122" s="69"/>
      <c r="MSZ122" s="69"/>
      <c r="MTA122" s="69"/>
      <c r="MTB122" s="69"/>
      <c r="MTC122" s="69"/>
      <c r="MTD122" s="69"/>
      <c r="MTE122" s="69"/>
      <c r="MTF122" s="69"/>
      <c r="MTG122" s="69"/>
      <c r="MTH122" s="69"/>
      <c r="MTI122" s="69"/>
      <c r="MTJ122" s="69"/>
      <c r="MTK122" s="69"/>
      <c r="MTL122" s="69"/>
      <c r="MTM122" s="69"/>
      <c r="MTN122" s="69"/>
      <c r="MTO122" s="69"/>
      <c r="MTP122" s="69"/>
      <c r="MTQ122" s="69"/>
      <c r="MTR122" s="69"/>
      <c r="MTS122" s="69"/>
      <c r="MTT122" s="69"/>
      <c r="MTU122" s="69"/>
      <c r="MTV122" s="69"/>
      <c r="MTW122" s="69"/>
      <c r="MTX122" s="69"/>
      <c r="MTY122" s="69"/>
      <c r="MTZ122" s="69"/>
      <c r="MUA122" s="69"/>
      <c r="MUB122" s="69"/>
      <c r="MUC122" s="69"/>
      <c r="MUD122" s="69"/>
      <c r="MUE122" s="69"/>
      <c r="MUF122" s="69"/>
      <c r="MUG122" s="69"/>
      <c r="MUH122" s="69"/>
      <c r="MUI122" s="69"/>
      <c r="MUJ122" s="69"/>
      <c r="MUK122" s="69"/>
      <c r="MUL122" s="69"/>
      <c r="MUM122" s="69"/>
      <c r="MUN122" s="69"/>
      <c r="MUO122" s="69"/>
      <c r="MUP122" s="69"/>
      <c r="MUQ122" s="69"/>
      <c r="MUR122" s="69"/>
      <c r="MUS122" s="69"/>
      <c r="MUT122" s="69"/>
      <c r="MUU122" s="69"/>
      <c r="MUV122" s="69"/>
      <c r="MUW122" s="69"/>
      <c r="MUX122" s="69"/>
      <c r="MUY122" s="69"/>
      <c r="MUZ122" s="69"/>
      <c r="MVA122" s="69"/>
      <c r="MVB122" s="69"/>
      <c r="MVC122" s="69"/>
      <c r="MVD122" s="69"/>
      <c r="MVE122" s="69"/>
      <c r="MVF122" s="69"/>
      <c r="MVG122" s="69"/>
      <c r="MVH122" s="69"/>
      <c r="MVI122" s="69"/>
      <c r="MVJ122" s="69"/>
      <c r="MVK122" s="69"/>
      <c r="MVL122" s="69"/>
      <c r="MVM122" s="69"/>
      <c r="MVN122" s="69"/>
      <c r="MVO122" s="69"/>
      <c r="MVP122" s="69"/>
      <c r="MVQ122" s="69"/>
      <c r="MVR122" s="69"/>
      <c r="MVS122" s="69"/>
      <c r="MVT122" s="69"/>
      <c r="MVU122" s="69"/>
      <c r="MVV122" s="69"/>
      <c r="MVW122" s="69"/>
      <c r="MVX122" s="69"/>
      <c r="MVY122" s="69"/>
      <c r="MVZ122" s="69"/>
      <c r="MWA122" s="69"/>
      <c r="MWB122" s="69"/>
      <c r="MWC122" s="69"/>
      <c r="MWD122" s="69"/>
      <c r="MWE122" s="69"/>
      <c r="MWF122" s="69"/>
      <c r="MWG122" s="69"/>
      <c r="MWH122" s="69"/>
      <c r="MWI122" s="69"/>
      <c r="MWJ122" s="69"/>
      <c r="MWK122" s="69"/>
      <c r="MWL122" s="69"/>
      <c r="MWM122" s="69"/>
      <c r="MWN122" s="69"/>
      <c r="MWO122" s="69"/>
      <c r="MWP122" s="69"/>
      <c r="MWQ122" s="69"/>
      <c r="MWR122" s="69"/>
      <c r="MWS122" s="69"/>
      <c r="MWT122" s="69"/>
      <c r="MWU122" s="69"/>
      <c r="MWV122" s="69"/>
      <c r="MWW122" s="69"/>
      <c r="MWX122" s="69"/>
      <c r="MWY122" s="69"/>
      <c r="MWZ122" s="69"/>
      <c r="MXA122" s="69"/>
      <c r="MXB122" s="69"/>
      <c r="MXC122" s="69"/>
      <c r="MXD122" s="69"/>
      <c r="MXE122" s="69"/>
      <c r="MXF122" s="69"/>
      <c r="MXG122" s="69"/>
      <c r="MXH122" s="69"/>
      <c r="MXI122" s="69"/>
      <c r="MXJ122" s="69"/>
      <c r="MXK122" s="69"/>
      <c r="MXL122" s="69"/>
      <c r="MXM122" s="69"/>
      <c r="MXN122" s="69"/>
      <c r="MXO122" s="69"/>
      <c r="MXP122" s="69"/>
      <c r="MXQ122" s="69"/>
      <c r="MXR122" s="69"/>
      <c r="MXS122" s="69"/>
      <c r="MXT122" s="69"/>
      <c r="MXU122" s="69"/>
      <c r="MXV122" s="69"/>
      <c r="MXW122" s="69"/>
      <c r="MXX122" s="69"/>
      <c r="MXY122" s="69"/>
      <c r="MXZ122" s="69"/>
      <c r="MYA122" s="69"/>
      <c r="MYB122" s="69"/>
      <c r="MYC122" s="69"/>
      <c r="MYD122" s="69"/>
      <c r="MYE122" s="69"/>
      <c r="MYF122" s="69"/>
      <c r="MYG122" s="69"/>
      <c r="MYH122" s="69"/>
      <c r="MYI122" s="69"/>
      <c r="MYJ122" s="69"/>
      <c r="MYK122" s="69"/>
      <c r="MYL122" s="69"/>
      <c r="MYM122" s="69"/>
      <c r="MYN122" s="69"/>
      <c r="MYO122" s="69"/>
      <c r="MYP122" s="69"/>
      <c r="MYQ122" s="69"/>
      <c r="MYR122" s="69"/>
      <c r="MYS122" s="69"/>
      <c r="MYT122" s="69"/>
      <c r="MYU122" s="69"/>
      <c r="MYV122" s="69"/>
      <c r="MYW122" s="69"/>
      <c r="MYX122" s="69"/>
      <c r="MYY122" s="69"/>
      <c r="MYZ122" s="69"/>
      <c r="MZA122" s="69"/>
      <c r="MZB122" s="69"/>
      <c r="MZC122" s="69"/>
      <c r="MZD122" s="69"/>
      <c r="MZE122" s="69"/>
      <c r="MZF122" s="69"/>
      <c r="MZG122" s="69"/>
      <c r="MZH122" s="69"/>
      <c r="MZI122" s="69"/>
      <c r="MZJ122" s="69"/>
      <c r="MZK122" s="69"/>
      <c r="MZL122" s="69"/>
      <c r="MZM122" s="69"/>
      <c r="MZN122" s="69"/>
      <c r="MZO122" s="69"/>
      <c r="MZP122" s="69"/>
      <c r="MZQ122" s="69"/>
      <c r="MZR122" s="69"/>
      <c r="MZS122" s="69"/>
      <c r="MZT122" s="69"/>
      <c r="MZU122" s="69"/>
      <c r="MZV122" s="69"/>
      <c r="MZW122" s="69"/>
      <c r="MZX122" s="69"/>
      <c r="MZY122" s="69"/>
      <c r="MZZ122" s="69"/>
      <c r="NAA122" s="69"/>
      <c r="NAB122" s="69"/>
      <c r="NAC122" s="69"/>
      <c r="NAD122" s="69"/>
      <c r="NAE122" s="69"/>
      <c r="NAF122" s="69"/>
      <c r="NAG122" s="69"/>
      <c r="NAH122" s="69"/>
      <c r="NAI122" s="69"/>
      <c r="NAJ122" s="69"/>
      <c r="NAK122" s="69"/>
      <c r="NAL122" s="69"/>
      <c r="NAM122" s="69"/>
      <c r="NAN122" s="69"/>
      <c r="NAO122" s="69"/>
      <c r="NAP122" s="69"/>
      <c r="NAQ122" s="69"/>
      <c r="NAR122" s="69"/>
      <c r="NAS122" s="69"/>
      <c r="NAT122" s="69"/>
      <c r="NAU122" s="69"/>
      <c r="NAV122" s="69"/>
      <c r="NAW122" s="69"/>
      <c r="NAX122" s="69"/>
      <c r="NAY122" s="69"/>
      <c r="NAZ122" s="69"/>
      <c r="NBA122" s="69"/>
      <c r="NBB122" s="69"/>
      <c r="NBC122" s="69"/>
      <c r="NBD122" s="69"/>
      <c r="NBE122" s="69"/>
      <c r="NBF122" s="69"/>
      <c r="NBG122" s="69"/>
      <c r="NBH122" s="69"/>
      <c r="NBI122" s="69"/>
      <c r="NBJ122" s="69"/>
      <c r="NBK122" s="69"/>
      <c r="NBL122" s="69"/>
      <c r="NBM122" s="69"/>
      <c r="NBN122" s="69"/>
      <c r="NBO122" s="69"/>
      <c r="NBP122" s="69"/>
      <c r="NBQ122" s="69"/>
      <c r="NBR122" s="69"/>
      <c r="NBS122" s="69"/>
      <c r="NBT122" s="69"/>
      <c r="NBU122" s="69"/>
      <c r="NBV122" s="69"/>
      <c r="NBW122" s="69"/>
      <c r="NBX122" s="69"/>
      <c r="NBY122" s="69"/>
      <c r="NBZ122" s="69"/>
      <c r="NCA122" s="69"/>
      <c r="NCB122" s="69"/>
      <c r="NCC122" s="69"/>
      <c r="NCD122" s="69"/>
      <c r="NCE122" s="69"/>
      <c r="NCF122" s="69"/>
      <c r="NCG122" s="69"/>
      <c r="NCH122" s="69"/>
      <c r="NCI122" s="69"/>
      <c r="NCJ122" s="69"/>
      <c r="NCK122" s="69"/>
      <c r="NCL122" s="69"/>
      <c r="NCM122" s="69"/>
      <c r="NCN122" s="69"/>
      <c r="NCO122" s="69"/>
      <c r="NCP122" s="69"/>
      <c r="NCQ122" s="69"/>
      <c r="NCR122" s="69"/>
      <c r="NCS122" s="69"/>
      <c r="NCT122" s="69"/>
      <c r="NCU122" s="69"/>
      <c r="NCV122" s="69"/>
      <c r="NCW122" s="69"/>
      <c r="NCX122" s="69"/>
      <c r="NCY122" s="69"/>
      <c r="NCZ122" s="69"/>
      <c r="NDA122" s="69"/>
      <c r="NDB122" s="69"/>
      <c r="NDC122" s="69"/>
      <c r="NDD122" s="69"/>
      <c r="NDE122" s="69"/>
      <c r="NDF122" s="69"/>
      <c r="NDG122" s="69"/>
      <c r="NDH122" s="69"/>
      <c r="NDI122" s="69"/>
      <c r="NDJ122" s="69"/>
      <c r="NDK122" s="69"/>
      <c r="NDL122" s="69"/>
      <c r="NDM122" s="69"/>
      <c r="NDN122" s="69"/>
      <c r="NDO122" s="69"/>
      <c r="NDP122" s="69"/>
      <c r="NDQ122" s="69"/>
      <c r="NDR122" s="69"/>
      <c r="NDS122" s="69"/>
      <c r="NDT122" s="69"/>
      <c r="NDU122" s="69"/>
      <c r="NDV122" s="69"/>
      <c r="NDW122" s="69"/>
      <c r="NDX122" s="69"/>
      <c r="NDY122" s="69"/>
      <c r="NDZ122" s="69"/>
      <c r="NEA122" s="69"/>
      <c r="NEB122" s="69"/>
      <c r="NEC122" s="69"/>
      <c r="NED122" s="69"/>
      <c r="NEE122" s="69"/>
      <c r="NEF122" s="69"/>
      <c r="NEG122" s="69"/>
      <c r="NEH122" s="69"/>
      <c r="NEI122" s="69"/>
      <c r="NEJ122" s="69"/>
      <c r="NEK122" s="69"/>
      <c r="NEL122" s="69"/>
      <c r="NEM122" s="69"/>
      <c r="NEN122" s="69"/>
      <c r="NEO122" s="69"/>
      <c r="NEP122" s="69"/>
      <c r="NEQ122" s="69"/>
      <c r="NER122" s="69"/>
      <c r="NES122" s="69"/>
      <c r="NET122" s="69"/>
      <c r="NEU122" s="69"/>
      <c r="NEV122" s="69"/>
      <c r="NEW122" s="69"/>
      <c r="NEX122" s="69"/>
      <c r="NEY122" s="69"/>
      <c r="NEZ122" s="69"/>
      <c r="NFA122" s="69"/>
      <c r="NFB122" s="69"/>
      <c r="NFC122" s="69"/>
      <c r="NFD122" s="69"/>
      <c r="NFE122" s="69"/>
      <c r="NFF122" s="69"/>
      <c r="NFG122" s="69"/>
      <c r="NFH122" s="69"/>
      <c r="NFI122" s="69"/>
      <c r="NFJ122" s="69"/>
      <c r="NFK122" s="69"/>
      <c r="NFL122" s="69"/>
      <c r="NFM122" s="69"/>
      <c r="NFN122" s="69"/>
      <c r="NFO122" s="69"/>
      <c r="NFP122" s="69"/>
      <c r="NFQ122" s="69"/>
      <c r="NFR122" s="69"/>
      <c r="NFS122" s="69"/>
      <c r="NFT122" s="69"/>
      <c r="NFU122" s="69"/>
      <c r="NFV122" s="69"/>
      <c r="NFW122" s="69"/>
      <c r="NFX122" s="69"/>
      <c r="NFY122" s="69"/>
      <c r="NFZ122" s="69"/>
      <c r="NGA122" s="69"/>
      <c r="NGB122" s="69"/>
      <c r="NGC122" s="69"/>
      <c r="NGD122" s="69"/>
      <c r="NGE122" s="69"/>
      <c r="NGF122" s="69"/>
      <c r="NGG122" s="69"/>
      <c r="NGH122" s="69"/>
      <c r="NGI122" s="69"/>
      <c r="NGJ122" s="69"/>
      <c r="NGK122" s="69"/>
      <c r="NGL122" s="69"/>
      <c r="NGM122" s="69"/>
      <c r="NGN122" s="69"/>
      <c r="NGO122" s="69"/>
      <c r="NGP122" s="69"/>
      <c r="NGQ122" s="69"/>
      <c r="NGR122" s="69"/>
      <c r="NGS122" s="69"/>
      <c r="NGT122" s="69"/>
      <c r="NGU122" s="69"/>
      <c r="NGV122" s="69"/>
      <c r="NGW122" s="69"/>
      <c r="NGX122" s="69"/>
      <c r="NGY122" s="69"/>
      <c r="NGZ122" s="69"/>
      <c r="NHA122" s="69"/>
      <c r="NHB122" s="69"/>
      <c r="NHC122" s="69"/>
      <c r="NHD122" s="69"/>
      <c r="NHE122" s="69"/>
      <c r="NHF122" s="69"/>
      <c r="NHG122" s="69"/>
      <c r="NHH122" s="69"/>
      <c r="NHI122" s="69"/>
      <c r="NHJ122" s="69"/>
      <c r="NHK122" s="69"/>
      <c r="NHL122" s="69"/>
      <c r="NHM122" s="69"/>
      <c r="NHN122" s="69"/>
      <c r="NHO122" s="69"/>
      <c r="NHP122" s="69"/>
      <c r="NHQ122" s="69"/>
      <c r="NHR122" s="69"/>
      <c r="NHS122" s="69"/>
      <c r="NHT122" s="69"/>
      <c r="NHU122" s="69"/>
      <c r="NHV122" s="69"/>
      <c r="NHW122" s="69"/>
      <c r="NHX122" s="69"/>
      <c r="NHY122" s="69"/>
      <c r="NHZ122" s="69"/>
      <c r="NIA122" s="69"/>
      <c r="NIB122" s="69"/>
      <c r="NIC122" s="69"/>
      <c r="NID122" s="69"/>
      <c r="NIE122" s="69"/>
      <c r="NIF122" s="69"/>
      <c r="NIG122" s="69"/>
      <c r="NIH122" s="69"/>
      <c r="NII122" s="69"/>
      <c r="NIJ122" s="69"/>
      <c r="NIK122" s="69"/>
      <c r="NIL122" s="69"/>
      <c r="NIM122" s="69"/>
      <c r="NIN122" s="69"/>
      <c r="NIO122" s="69"/>
      <c r="NIP122" s="69"/>
      <c r="NIQ122" s="69"/>
      <c r="NIR122" s="69"/>
      <c r="NIS122" s="69"/>
      <c r="NIT122" s="69"/>
      <c r="NIU122" s="69"/>
      <c r="NIV122" s="69"/>
      <c r="NIW122" s="69"/>
      <c r="NIX122" s="69"/>
      <c r="NIY122" s="69"/>
      <c r="NIZ122" s="69"/>
      <c r="NJA122" s="69"/>
      <c r="NJB122" s="69"/>
      <c r="NJC122" s="69"/>
      <c r="NJD122" s="69"/>
      <c r="NJE122" s="69"/>
      <c r="NJF122" s="69"/>
      <c r="NJG122" s="69"/>
      <c r="NJH122" s="69"/>
      <c r="NJI122" s="69"/>
      <c r="NJJ122" s="69"/>
      <c r="NJK122" s="69"/>
      <c r="NJL122" s="69"/>
      <c r="NJM122" s="69"/>
      <c r="NJN122" s="69"/>
      <c r="NJO122" s="69"/>
      <c r="NJP122" s="69"/>
      <c r="NJQ122" s="69"/>
      <c r="NJR122" s="69"/>
      <c r="NJS122" s="69"/>
      <c r="NJT122" s="69"/>
      <c r="NJU122" s="69"/>
      <c r="NJV122" s="69"/>
      <c r="NJW122" s="69"/>
      <c r="NJX122" s="69"/>
      <c r="NJY122" s="69"/>
      <c r="NJZ122" s="69"/>
      <c r="NKA122" s="69"/>
      <c r="NKB122" s="69"/>
      <c r="NKC122" s="69"/>
      <c r="NKD122" s="69"/>
      <c r="NKE122" s="69"/>
      <c r="NKF122" s="69"/>
      <c r="NKG122" s="69"/>
      <c r="NKH122" s="69"/>
      <c r="NKI122" s="69"/>
      <c r="NKJ122" s="69"/>
      <c r="NKK122" s="69"/>
      <c r="NKL122" s="69"/>
      <c r="NKM122" s="69"/>
      <c r="NKN122" s="69"/>
      <c r="NKO122" s="69"/>
      <c r="NKP122" s="69"/>
      <c r="NKQ122" s="69"/>
      <c r="NKR122" s="69"/>
      <c r="NKS122" s="69"/>
      <c r="NKT122" s="69"/>
      <c r="NKU122" s="69"/>
      <c r="NKV122" s="69"/>
      <c r="NKW122" s="69"/>
      <c r="NKX122" s="69"/>
      <c r="NKY122" s="69"/>
      <c r="NKZ122" s="69"/>
      <c r="NLA122" s="69"/>
      <c r="NLB122" s="69"/>
      <c r="NLC122" s="69"/>
      <c r="NLD122" s="69"/>
      <c r="NLE122" s="69"/>
      <c r="NLF122" s="69"/>
      <c r="NLG122" s="69"/>
      <c r="NLH122" s="69"/>
      <c r="NLI122" s="69"/>
      <c r="NLJ122" s="69"/>
      <c r="NLK122" s="69"/>
      <c r="NLL122" s="69"/>
      <c r="NLM122" s="69"/>
      <c r="NLN122" s="69"/>
      <c r="NLO122" s="69"/>
      <c r="NLP122" s="69"/>
      <c r="NLQ122" s="69"/>
      <c r="NLR122" s="69"/>
      <c r="NLS122" s="69"/>
      <c r="NLT122" s="69"/>
      <c r="NLU122" s="69"/>
      <c r="NLV122" s="69"/>
      <c r="NLW122" s="69"/>
      <c r="NLX122" s="69"/>
      <c r="NLY122" s="69"/>
      <c r="NLZ122" s="69"/>
      <c r="NMA122" s="69"/>
      <c r="NMB122" s="69"/>
      <c r="NMC122" s="69"/>
      <c r="NMD122" s="69"/>
      <c r="NME122" s="69"/>
      <c r="NMF122" s="69"/>
      <c r="NMG122" s="69"/>
      <c r="NMH122" s="69"/>
      <c r="NMI122" s="69"/>
      <c r="NMJ122" s="69"/>
      <c r="NMK122" s="69"/>
      <c r="NML122" s="69"/>
      <c r="NMM122" s="69"/>
      <c r="NMN122" s="69"/>
      <c r="NMO122" s="69"/>
      <c r="NMP122" s="69"/>
      <c r="NMQ122" s="69"/>
      <c r="NMR122" s="69"/>
      <c r="NMS122" s="69"/>
      <c r="NMT122" s="69"/>
      <c r="NMU122" s="69"/>
      <c r="NMV122" s="69"/>
      <c r="NMW122" s="69"/>
      <c r="NMX122" s="69"/>
      <c r="NMY122" s="69"/>
      <c r="NMZ122" s="69"/>
      <c r="NNA122" s="69"/>
      <c r="NNB122" s="69"/>
      <c r="NNC122" s="69"/>
      <c r="NND122" s="69"/>
      <c r="NNE122" s="69"/>
      <c r="NNF122" s="69"/>
      <c r="NNG122" s="69"/>
      <c r="NNH122" s="69"/>
      <c r="NNI122" s="69"/>
      <c r="NNJ122" s="69"/>
      <c r="NNK122" s="69"/>
      <c r="NNL122" s="69"/>
      <c r="NNM122" s="69"/>
      <c r="NNN122" s="69"/>
      <c r="NNO122" s="69"/>
      <c r="NNP122" s="69"/>
      <c r="NNQ122" s="69"/>
      <c r="NNR122" s="69"/>
      <c r="NNS122" s="69"/>
      <c r="NNT122" s="69"/>
      <c r="NNU122" s="69"/>
      <c r="NNV122" s="69"/>
      <c r="NNW122" s="69"/>
      <c r="NNX122" s="69"/>
      <c r="NNY122" s="69"/>
      <c r="NNZ122" s="69"/>
      <c r="NOA122" s="69"/>
      <c r="NOB122" s="69"/>
      <c r="NOC122" s="69"/>
      <c r="NOD122" s="69"/>
      <c r="NOE122" s="69"/>
      <c r="NOF122" s="69"/>
      <c r="NOG122" s="69"/>
      <c r="NOH122" s="69"/>
      <c r="NOI122" s="69"/>
      <c r="NOJ122" s="69"/>
      <c r="NOK122" s="69"/>
      <c r="NOL122" s="69"/>
      <c r="NOM122" s="69"/>
      <c r="NON122" s="69"/>
      <c r="NOO122" s="69"/>
      <c r="NOP122" s="69"/>
      <c r="NOQ122" s="69"/>
      <c r="NOR122" s="69"/>
      <c r="NOS122" s="69"/>
      <c r="NOT122" s="69"/>
      <c r="NOU122" s="69"/>
      <c r="NOV122" s="69"/>
      <c r="NOW122" s="69"/>
      <c r="NOX122" s="69"/>
      <c r="NOY122" s="69"/>
      <c r="NOZ122" s="69"/>
      <c r="NPA122" s="69"/>
      <c r="NPB122" s="69"/>
      <c r="NPC122" s="69"/>
      <c r="NPD122" s="69"/>
      <c r="NPE122" s="69"/>
      <c r="NPF122" s="69"/>
      <c r="NPG122" s="69"/>
      <c r="NPH122" s="69"/>
      <c r="NPI122" s="69"/>
      <c r="NPJ122" s="69"/>
      <c r="NPK122" s="69"/>
      <c r="NPL122" s="69"/>
      <c r="NPM122" s="69"/>
      <c r="NPN122" s="69"/>
      <c r="NPO122" s="69"/>
      <c r="NPP122" s="69"/>
      <c r="NPQ122" s="69"/>
      <c r="NPR122" s="69"/>
      <c r="NPS122" s="69"/>
      <c r="NPT122" s="69"/>
      <c r="NPU122" s="69"/>
      <c r="NPV122" s="69"/>
      <c r="NPW122" s="69"/>
      <c r="NPX122" s="69"/>
      <c r="NPY122" s="69"/>
      <c r="NPZ122" s="69"/>
      <c r="NQA122" s="69"/>
      <c r="NQB122" s="69"/>
      <c r="NQC122" s="69"/>
      <c r="NQD122" s="69"/>
      <c r="NQE122" s="69"/>
      <c r="NQF122" s="69"/>
      <c r="NQG122" s="69"/>
      <c r="NQH122" s="69"/>
      <c r="NQI122" s="69"/>
      <c r="NQJ122" s="69"/>
      <c r="NQK122" s="69"/>
      <c r="NQL122" s="69"/>
      <c r="NQM122" s="69"/>
      <c r="NQN122" s="69"/>
      <c r="NQO122" s="69"/>
      <c r="NQP122" s="69"/>
      <c r="NQQ122" s="69"/>
      <c r="NQR122" s="69"/>
      <c r="NQS122" s="69"/>
      <c r="NQT122" s="69"/>
      <c r="NQU122" s="69"/>
      <c r="NQV122" s="69"/>
      <c r="NQW122" s="69"/>
      <c r="NQX122" s="69"/>
      <c r="NQY122" s="69"/>
      <c r="NQZ122" s="69"/>
      <c r="NRA122" s="69"/>
      <c r="NRB122" s="69"/>
      <c r="NRC122" s="69"/>
      <c r="NRD122" s="69"/>
      <c r="NRE122" s="69"/>
      <c r="NRF122" s="69"/>
      <c r="NRG122" s="69"/>
      <c r="NRH122" s="69"/>
      <c r="NRI122" s="69"/>
      <c r="NRJ122" s="69"/>
      <c r="NRK122" s="69"/>
      <c r="NRL122" s="69"/>
      <c r="NRM122" s="69"/>
      <c r="NRN122" s="69"/>
      <c r="NRO122" s="69"/>
      <c r="NRP122" s="69"/>
      <c r="NRQ122" s="69"/>
      <c r="NRR122" s="69"/>
      <c r="NRS122" s="69"/>
      <c r="NRT122" s="69"/>
      <c r="NRU122" s="69"/>
      <c r="NRV122" s="69"/>
      <c r="NRW122" s="69"/>
      <c r="NRX122" s="69"/>
      <c r="NRY122" s="69"/>
      <c r="NRZ122" s="69"/>
      <c r="NSA122" s="69"/>
      <c r="NSB122" s="69"/>
      <c r="NSC122" s="69"/>
      <c r="NSD122" s="69"/>
      <c r="NSE122" s="69"/>
      <c r="NSF122" s="69"/>
      <c r="NSG122" s="69"/>
      <c r="NSH122" s="69"/>
      <c r="NSI122" s="69"/>
      <c r="NSJ122" s="69"/>
      <c r="NSK122" s="69"/>
      <c r="NSL122" s="69"/>
      <c r="NSM122" s="69"/>
      <c r="NSN122" s="69"/>
      <c r="NSO122" s="69"/>
      <c r="NSP122" s="69"/>
      <c r="NSQ122" s="69"/>
      <c r="NSR122" s="69"/>
      <c r="NSS122" s="69"/>
      <c r="NST122" s="69"/>
      <c r="NSU122" s="69"/>
      <c r="NSV122" s="69"/>
      <c r="NSW122" s="69"/>
      <c r="NSX122" s="69"/>
      <c r="NSY122" s="69"/>
      <c r="NSZ122" s="69"/>
      <c r="NTA122" s="69"/>
      <c r="NTB122" s="69"/>
      <c r="NTC122" s="69"/>
      <c r="NTD122" s="69"/>
      <c r="NTE122" s="69"/>
      <c r="NTF122" s="69"/>
      <c r="NTG122" s="69"/>
      <c r="NTH122" s="69"/>
      <c r="NTI122" s="69"/>
      <c r="NTJ122" s="69"/>
      <c r="NTK122" s="69"/>
      <c r="NTL122" s="69"/>
      <c r="NTM122" s="69"/>
      <c r="NTN122" s="69"/>
      <c r="NTO122" s="69"/>
      <c r="NTP122" s="69"/>
      <c r="NTQ122" s="69"/>
      <c r="NTR122" s="69"/>
      <c r="NTS122" s="69"/>
      <c r="NTT122" s="69"/>
      <c r="NTU122" s="69"/>
      <c r="NTV122" s="69"/>
      <c r="NTW122" s="69"/>
      <c r="NTX122" s="69"/>
      <c r="NTY122" s="69"/>
      <c r="NTZ122" s="69"/>
      <c r="NUA122" s="69"/>
      <c r="NUB122" s="69"/>
      <c r="NUC122" s="69"/>
      <c r="NUD122" s="69"/>
      <c r="NUE122" s="69"/>
      <c r="NUF122" s="69"/>
      <c r="NUG122" s="69"/>
      <c r="NUH122" s="69"/>
      <c r="NUI122" s="69"/>
      <c r="NUJ122" s="69"/>
      <c r="NUK122" s="69"/>
      <c r="NUL122" s="69"/>
      <c r="NUM122" s="69"/>
      <c r="NUN122" s="69"/>
      <c r="NUO122" s="69"/>
      <c r="NUP122" s="69"/>
      <c r="NUQ122" s="69"/>
      <c r="NUR122" s="69"/>
      <c r="NUS122" s="69"/>
      <c r="NUT122" s="69"/>
      <c r="NUU122" s="69"/>
      <c r="NUV122" s="69"/>
      <c r="NUW122" s="69"/>
      <c r="NUX122" s="69"/>
      <c r="NUY122" s="69"/>
      <c r="NUZ122" s="69"/>
      <c r="NVA122" s="69"/>
      <c r="NVB122" s="69"/>
      <c r="NVC122" s="69"/>
      <c r="NVD122" s="69"/>
      <c r="NVE122" s="69"/>
      <c r="NVF122" s="69"/>
      <c r="NVG122" s="69"/>
      <c r="NVH122" s="69"/>
      <c r="NVI122" s="69"/>
      <c r="NVJ122" s="69"/>
      <c r="NVK122" s="69"/>
      <c r="NVL122" s="69"/>
      <c r="NVM122" s="69"/>
      <c r="NVN122" s="69"/>
      <c r="NVO122" s="69"/>
      <c r="NVP122" s="69"/>
      <c r="NVQ122" s="69"/>
      <c r="NVR122" s="69"/>
      <c r="NVS122" s="69"/>
      <c r="NVT122" s="69"/>
      <c r="NVU122" s="69"/>
      <c r="NVV122" s="69"/>
      <c r="NVW122" s="69"/>
      <c r="NVX122" s="69"/>
      <c r="NVY122" s="69"/>
      <c r="NVZ122" s="69"/>
      <c r="NWA122" s="69"/>
      <c r="NWB122" s="69"/>
      <c r="NWC122" s="69"/>
      <c r="NWD122" s="69"/>
      <c r="NWE122" s="69"/>
      <c r="NWF122" s="69"/>
      <c r="NWG122" s="69"/>
      <c r="NWH122" s="69"/>
      <c r="NWI122" s="69"/>
      <c r="NWJ122" s="69"/>
      <c r="NWK122" s="69"/>
      <c r="NWL122" s="69"/>
      <c r="NWM122" s="69"/>
      <c r="NWN122" s="69"/>
      <c r="NWO122" s="69"/>
      <c r="NWP122" s="69"/>
      <c r="NWQ122" s="69"/>
      <c r="NWR122" s="69"/>
      <c r="NWS122" s="69"/>
      <c r="NWT122" s="69"/>
      <c r="NWU122" s="69"/>
      <c r="NWV122" s="69"/>
      <c r="NWW122" s="69"/>
      <c r="NWX122" s="69"/>
      <c r="NWY122" s="69"/>
      <c r="NWZ122" s="69"/>
      <c r="NXA122" s="69"/>
      <c r="NXB122" s="69"/>
      <c r="NXC122" s="69"/>
      <c r="NXD122" s="69"/>
      <c r="NXE122" s="69"/>
      <c r="NXF122" s="69"/>
      <c r="NXG122" s="69"/>
      <c r="NXH122" s="69"/>
      <c r="NXI122" s="69"/>
      <c r="NXJ122" s="69"/>
      <c r="NXK122" s="69"/>
      <c r="NXL122" s="69"/>
      <c r="NXM122" s="69"/>
      <c r="NXN122" s="69"/>
      <c r="NXO122" s="69"/>
      <c r="NXP122" s="69"/>
      <c r="NXQ122" s="69"/>
      <c r="NXR122" s="69"/>
      <c r="NXS122" s="69"/>
      <c r="NXT122" s="69"/>
      <c r="NXU122" s="69"/>
      <c r="NXV122" s="69"/>
      <c r="NXW122" s="69"/>
      <c r="NXX122" s="69"/>
      <c r="NXY122" s="69"/>
      <c r="NXZ122" s="69"/>
      <c r="NYA122" s="69"/>
      <c r="NYB122" s="69"/>
      <c r="NYC122" s="69"/>
      <c r="NYD122" s="69"/>
      <c r="NYE122" s="69"/>
      <c r="NYF122" s="69"/>
      <c r="NYG122" s="69"/>
      <c r="NYH122" s="69"/>
      <c r="NYI122" s="69"/>
      <c r="NYJ122" s="69"/>
      <c r="NYK122" s="69"/>
      <c r="NYL122" s="69"/>
      <c r="NYM122" s="69"/>
      <c r="NYN122" s="69"/>
      <c r="NYO122" s="69"/>
      <c r="NYP122" s="69"/>
      <c r="NYQ122" s="69"/>
      <c r="NYR122" s="69"/>
      <c r="NYS122" s="69"/>
      <c r="NYT122" s="69"/>
      <c r="NYU122" s="69"/>
      <c r="NYV122" s="69"/>
      <c r="NYW122" s="69"/>
      <c r="NYX122" s="69"/>
      <c r="NYY122" s="69"/>
      <c r="NYZ122" s="69"/>
      <c r="NZA122" s="69"/>
      <c r="NZB122" s="69"/>
      <c r="NZC122" s="69"/>
      <c r="NZD122" s="69"/>
      <c r="NZE122" s="69"/>
      <c r="NZF122" s="69"/>
      <c r="NZG122" s="69"/>
      <c r="NZH122" s="69"/>
      <c r="NZI122" s="69"/>
      <c r="NZJ122" s="69"/>
      <c r="NZK122" s="69"/>
      <c r="NZL122" s="69"/>
      <c r="NZM122" s="69"/>
      <c r="NZN122" s="69"/>
      <c r="NZO122" s="69"/>
      <c r="NZP122" s="69"/>
      <c r="NZQ122" s="69"/>
      <c r="NZR122" s="69"/>
      <c r="NZS122" s="69"/>
      <c r="NZT122" s="69"/>
      <c r="NZU122" s="69"/>
      <c r="NZV122" s="69"/>
      <c r="NZW122" s="69"/>
      <c r="NZX122" s="69"/>
      <c r="NZY122" s="69"/>
      <c r="NZZ122" s="69"/>
      <c r="OAA122" s="69"/>
      <c r="OAB122" s="69"/>
      <c r="OAC122" s="69"/>
      <c r="OAD122" s="69"/>
      <c r="OAE122" s="69"/>
      <c r="OAF122" s="69"/>
      <c r="OAG122" s="69"/>
      <c r="OAH122" s="69"/>
      <c r="OAI122" s="69"/>
      <c r="OAJ122" s="69"/>
      <c r="OAK122" s="69"/>
      <c r="OAL122" s="69"/>
      <c r="OAM122" s="69"/>
      <c r="OAN122" s="69"/>
      <c r="OAO122" s="69"/>
      <c r="OAP122" s="69"/>
      <c r="OAQ122" s="69"/>
      <c r="OAR122" s="69"/>
      <c r="OAS122" s="69"/>
      <c r="OAT122" s="69"/>
      <c r="OAU122" s="69"/>
      <c r="OAV122" s="69"/>
      <c r="OAW122" s="69"/>
      <c r="OAX122" s="69"/>
      <c r="OAY122" s="69"/>
      <c r="OAZ122" s="69"/>
      <c r="OBA122" s="69"/>
      <c r="OBB122" s="69"/>
      <c r="OBC122" s="69"/>
      <c r="OBD122" s="69"/>
      <c r="OBE122" s="69"/>
      <c r="OBF122" s="69"/>
      <c r="OBG122" s="69"/>
      <c r="OBH122" s="69"/>
      <c r="OBI122" s="69"/>
      <c r="OBJ122" s="69"/>
      <c r="OBK122" s="69"/>
      <c r="OBL122" s="69"/>
      <c r="OBM122" s="69"/>
      <c r="OBN122" s="69"/>
      <c r="OBO122" s="69"/>
      <c r="OBP122" s="69"/>
      <c r="OBQ122" s="69"/>
      <c r="OBR122" s="69"/>
      <c r="OBS122" s="69"/>
      <c r="OBT122" s="69"/>
      <c r="OBU122" s="69"/>
      <c r="OBV122" s="69"/>
      <c r="OBW122" s="69"/>
      <c r="OBX122" s="69"/>
      <c r="OBY122" s="69"/>
      <c r="OBZ122" s="69"/>
      <c r="OCA122" s="69"/>
      <c r="OCB122" s="69"/>
      <c r="OCC122" s="69"/>
      <c r="OCD122" s="69"/>
      <c r="OCE122" s="69"/>
      <c r="OCF122" s="69"/>
      <c r="OCG122" s="69"/>
      <c r="OCH122" s="69"/>
      <c r="OCI122" s="69"/>
      <c r="OCJ122" s="69"/>
      <c r="OCK122" s="69"/>
      <c r="OCL122" s="69"/>
      <c r="OCM122" s="69"/>
      <c r="OCN122" s="69"/>
      <c r="OCO122" s="69"/>
      <c r="OCP122" s="69"/>
      <c r="OCQ122" s="69"/>
      <c r="OCR122" s="69"/>
      <c r="OCS122" s="69"/>
      <c r="OCT122" s="69"/>
      <c r="OCU122" s="69"/>
      <c r="OCV122" s="69"/>
      <c r="OCW122" s="69"/>
      <c r="OCX122" s="69"/>
      <c r="OCY122" s="69"/>
      <c r="OCZ122" s="69"/>
      <c r="ODA122" s="69"/>
      <c r="ODB122" s="69"/>
      <c r="ODC122" s="69"/>
      <c r="ODD122" s="69"/>
      <c r="ODE122" s="69"/>
      <c r="ODF122" s="69"/>
      <c r="ODG122" s="69"/>
      <c r="ODH122" s="69"/>
      <c r="ODI122" s="69"/>
      <c r="ODJ122" s="69"/>
      <c r="ODK122" s="69"/>
      <c r="ODL122" s="69"/>
      <c r="ODM122" s="69"/>
      <c r="ODN122" s="69"/>
      <c r="ODO122" s="69"/>
      <c r="ODP122" s="69"/>
      <c r="ODQ122" s="69"/>
      <c r="ODR122" s="69"/>
      <c r="ODS122" s="69"/>
      <c r="ODT122" s="69"/>
      <c r="ODU122" s="69"/>
      <c r="ODV122" s="69"/>
      <c r="ODW122" s="69"/>
      <c r="ODX122" s="69"/>
      <c r="ODY122" s="69"/>
      <c r="ODZ122" s="69"/>
      <c r="OEA122" s="69"/>
      <c r="OEB122" s="69"/>
      <c r="OEC122" s="69"/>
      <c r="OED122" s="69"/>
      <c r="OEE122" s="69"/>
      <c r="OEF122" s="69"/>
      <c r="OEG122" s="69"/>
      <c r="OEH122" s="69"/>
      <c r="OEI122" s="69"/>
      <c r="OEJ122" s="69"/>
      <c r="OEK122" s="69"/>
      <c r="OEL122" s="69"/>
      <c r="OEM122" s="69"/>
      <c r="OEN122" s="69"/>
      <c r="OEO122" s="69"/>
      <c r="OEP122" s="69"/>
      <c r="OEQ122" s="69"/>
      <c r="OER122" s="69"/>
      <c r="OES122" s="69"/>
      <c r="OET122" s="69"/>
      <c r="OEU122" s="69"/>
      <c r="OEV122" s="69"/>
      <c r="OEW122" s="69"/>
      <c r="OEX122" s="69"/>
      <c r="OEY122" s="69"/>
      <c r="OEZ122" s="69"/>
      <c r="OFA122" s="69"/>
      <c r="OFB122" s="69"/>
      <c r="OFC122" s="69"/>
      <c r="OFD122" s="69"/>
      <c r="OFE122" s="69"/>
      <c r="OFF122" s="69"/>
      <c r="OFG122" s="69"/>
      <c r="OFH122" s="69"/>
      <c r="OFI122" s="69"/>
      <c r="OFJ122" s="69"/>
      <c r="OFK122" s="69"/>
      <c r="OFL122" s="69"/>
      <c r="OFM122" s="69"/>
      <c r="OFN122" s="69"/>
      <c r="OFO122" s="69"/>
      <c r="OFP122" s="69"/>
      <c r="OFQ122" s="69"/>
      <c r="OFR122" s="69"/>
      <c r="OFS122" s="69"/>
      <c r="OFT122" s="69"/>
      <c r="OFU122" s="69"/>
      <c r="OFV122" s="69"/>
      <c r="OFW122" s="69"/>
      <c r="OFX122" s="69"/>
      <c r="OFY122" s="69"/>
      <c r="OFZ122" s="69"/>
      <c r="OGA122" s="69"/>
      <c r="OGB122" s="69"/>
      <c r="OGC122" s="69"/>
      <c r="OGD122" s="69"/>
      <c r="OGE122" s="69"/>
      <c r="OGF122" s="69"/>
      <c r="OGG122" s="69"/>
      <c r="OGH122" s="69"/>
      <c r="OGI122" s="69"/>
      <c r="OGJ122" s="69"/>
      <c r="OGK122" s="69"/>
      <c r="OGL122" s="69"/>
      <c r="OGM122" s="69"/>
      <c r="OGN122" s="69"/>
      <c r="OGO122" s="69"/>
      <c r="OGP122" s="69"/>
      <c r="OGQ122" s="69"/>
      <c r="OGR122" s="69"/>
      <c r="OGS122" s="69"/>
      <c r="OGT122" s="69"/>
      <c r="OGU122" s="69"/>
      <c r="OGV122" s="69"/>
      <c r="OGW122" s="69"/>
      <c r="OGX122" s="69"/>
      <c r="OGY122" s="69"/>
      <c r="OGZ122" s="69"/>
      <c r="OHA122" s="69"/>
      <c r="OHB122" s="69"/>
      <c r="OHC122" s="69"/>
      <c r="OHD122" s="69"/>
      <c r="OHE122" s="69"/>
      <c r="OHF122" s="69"/>
      <c r="OHG122" s="69"/>
      <c r="OHH122" s="69"/>
      <c r="OHI122" s="69"/>
      <c r="OHJ122" s="69"/>
      <c r="OHK122" s="69"/>
      <c r="OHL122" s="69"/>
      <c r="OHM122" s="69"/>
      <c r="OHN122" s="69"/>
      <c r="OHO122" s="69"/>
      <c r="OHP122" s="69"/>
      <c r="OHQ122" s="69"/>
      <c r="OHR122" s="69"/>
      <c r="OHS122" s="69"/>
      <c r="OHT122" s="69"/>
      <c r="OHU122" s="69"/>
      <c r="OHV122" s="69"/>
      <c r="OHW122" s="69"/>
      <c r="OHX122" s="69"/>
      <c r="OHY122" s="69"/>
      <c r="OHZ122" s="69"/>
      <c r="OIA122" s="69"/>
      <c r="OIB122" s="69"/>
      <c r="OIC122" s="69"/>
      <c r="OID122" s="69"/>
      <c r="OIE122" s="69"/>
      <c r="OIF122" s="69"/>
      <c r="OIG122" s="69"/>
      <c r="OIH122" s="69"/>
      <c r="OII122" s="69"/>
      <c r="OIJ122" s="69"/>
      <c r="OIK122" s="69"/>
      <c r="OIL122" s="69"/>
      <c r="OIM122" s="69"/>
      <c r="OIN122" s="69"/>
      <c r="OIO122" s="69"/>
      <c r="OIP122" s="69"/>
      <c r="OIQ122" s="69"/>
      <c r="OIR122" s="69"/>
      <c r="OIS122" s="69"/>
      <c r="OIT122" s="69"/>
      <c r="OIU122" s="69"/>
      <c r="OIV122" s="69"/>
      <c r="OIW122" s="69"/>
      <c r="OIX122" s="69"/>
      <c r="OIY122" s="69"/>
      <c r="OIZ122" s="69"/>
      <c r="OJA122" s="69"/>
      <c r="OJB122" s="69"/>
      <c r="OJC122" s="69"/>
      <c r="OJD122" s="69"/>
      <c r="OJE122" s="69"/>
      <c r="OJF122" s="69"/>
      <c r="OJG122" s="69"/>
      <c r="OJH122" s="69"/>
      <c r="OJI122" s="69"/>
      <c r="OJJ122" s="69"/>
      <c r="OJK122" s="69"/>
      <c r="OJL122" s="69"/>
      <c r="OJM122" s="69"/>
      <c r="OJN122" s="69"/>
      <c r="OJO122" s="69"/>
      <c r="OJP122" s="69"/>
      <c r="OJQ122" s="69"/>
      <c r="OJR122" s="69"/>
      <c r="OJS122" s="69"/>
      <c r="OJT122" s="69"/>
      <c r="OJU122" s="69"/>
      <c r="OJV122" s="69"/>
      <c r="OJW122" s="69"/>
      <c r="OJX122" s="69"/>
      <c r="OJY122" s="69"/>
      <c r="OJZ122" s="69"/>
      <c r="OKA122" s="69"/>
      <c r="OKB122" s="69"/>
      <c r="OKC122" s="69"/>
      <c r="OKD122" s="69"/>
      <c r="OKE122" s="69"/>
      <c r="OKF122" s="69"/>
      <c r="OKG122" s="69"/>
      <c r="OKH122" s="69"/>
      <c r="OKI122" s="69"/>
      <c r="OKJ122" s="69"/>
      <c r="OKK122" s="69"/>
      <c r="OKL122" s="69"/>
      <c r="OKM122" s="69"/>
      <c r="OKN122" s="69"/>
      <c r="OKO122" s="69"/>
      <c r="OKP122" s="69"/>
      <c r="OKQ122" s="69"/>
      <c r="OKR122" s="69"/>
      <c r="OKS122" s="69"/>
      <c r="OKT122" s="69"/>
      <c r="OKU122" s="69"/>
      <c r="OKV122" s="69"/>
      <c r="OKW122" s="69"/>
      <c r="OKX122" s="69"/>
      <c r="OKY122" s="69"/>
      <c r="OKZ122" s="69"/>
      <c r="OLA122" s="69"/>
      <c r="OLB122" s="69"/>
      <c r="OLC122" s="69"/>
      <c r="OLD122" s="69"/>
      <c r="OLE122" s="69"/>
      <c r="OLF122" s="69"/>
      <c r="OLG122" s="69"/>
      <c r="OLH122" s="69"/>
      <c r="OLI122" s="69"/>
      <c r="OLJ122" s="69"/>
      <c r="OLK122" s="69"/>
      <c r="OLL122" s="69"/>
      <c r="OLM122" s="69"/>
      <c r="OLN122" s="69"/>
      <c r="OLO122" s="69"/>
      <c r="OLP122" s="69"/>
      <c r="OLQ122" s="69"/>
      <c r="OLR122" s="69"/>
      <c r="OLS122" s="69"/>
      <c r="OLT122" s="69"/>
      <c r="OLU122" s="69"/>
      <c r="OLV122" s="69"/>
      <c r="OLW122" s="69"/>
      <c r="OLX122" s="69"/>
      <c r="OLY122" s="69"/>
      <c r="OLZ122" s="69"/>
      <c r="OMA122" s="69"/>
      <c r="OMB122" s="69"/>
      <c r="OMC122" s="69"/>
      <c r="OMD122" s="69"/>
      <c r="OME122" s="69"/>
      <c r="OMF122" s="69"/>
      <c r="OMG122" s="69"/>
      <c r="OMH122" s="69"/>
      <c r="OMI122" s="69"/>
      <c r="OMJ122" s="69"/>
      <c r="OMK122" s="69"/>
      <c r="OML122" s="69"/>
      <c r="OMM122" s="69"/>
      <c r="OMN122" s="69"/>
      <c r="OMO122" s="69"/>
      <c r="OMP122" s="69"/>
      <c r="OMQ122" s="69"/>
      <c r="OMR122" s="69"/>
      <c r="OMS122" s="69"/>
      <c r="OMT122" s="69"/>
      <c r="OMU122" s="69"/>
      <c r="OMV122" s="69"/>
      <c r="OMW122" s="69"/>
      <c r="OMX122" s="69"/>
      <c r="OMY122" s="69"/>
      <c r="OMZ122" s="69"/>
      <c r="ONA122" s="69"/>
      <c r="ONB122" s="69"/>
      <c r="ONC122" s="69"/>
      <c r="OND122" s="69"/>
      <c r="ONE122" s="69"/>
      <c r="ONF122" s="69"/>
      <c r="ONG122" s="69"/>
      <c r="ONH122" s="69"/>
      <c r="ONI122" s="69"/>
      <c r="ONJ122" s="69"/>
      <c r="ONK122" s="69"/>
      <c r="ONL122" s="69"/>
      <c r="ONM122" s="69"/>
      <c r="ONN122" s="69"/>
      <c r="ONO122" s="69"/>
      <c r="ONP122" s="69"/>
      <c r="ONQ122" s="69"/>
      <c r="ONR122" s="69"/>
      <c r="ONS122" s="69"/>
      <c r="ONT122" s="69"/>
      <c r="ONU122" s="69"/>
      <c r="ONV122" s="69"/>
      <c r="ONW122" s="69"/>
      <c r="ONX122" s="69"/>
      <c r="ONY122" s="69"/>
      <c r="ONZ122" s="69"/>
      <c r="OOA122" s="69"/>
      <c r="OOB122" s="69"/>
      <c r="OOC122" s="69"/>
      <c r="OOD122" s="69"/>
      <c r="OOE122" s="69"/>
      <c r="OOF122" s="69"/>
      <c r="OOG122" s="69"/>
      <c r="OOH122" s="69"/>
      <c r="OOI122" s="69"/>
      <c r="OOJ122" s="69"/>
      <c r="OOK122" s="69"/>
      <c r="OOL122" s="69"/>
      <c r="OOM122" s="69"/>
      <c r="OON122" s="69"/>
      <c r="OOO122" s="69"/>
      <c r="OOP122" s="69"/>
      <c r="OOQ122" s="69"/>
      <c r="OOR122" s="69"/>
      <c r="OOS122" s="69"/>
      <c r="OOT122" s="69"/>
      <c r="OOU122" s="69"/>
      <c r="OOV122" s="69"/>
      <c r="OOW122" s="69"/>
      <c r="OOX122" s="69"/>
      <c r="OOY122" s="69"/>
      <c r="OOZ122" s="69"/>
      <c r="OPA122" s="69"/>
      <c r="OPB122" s="69"/>
      <c r="OPC122" s="69"/>
      <c r="OPD122" s="69"/>
      <c r="OPE122" s="69"/>
      <c r="OPF122" s="69"/>
      <c r="OPG122" s="69"/>
      <c r="OPH122" s="69"/>
      <c r="OPI122" s="69"/>
      <c r="OPJ122" s="69"/>
      <c r="OPK122" s="69"/>
      <c r="OPL122" s="69"/>
      <c r="OPM122" s="69"/>
      <c r="OPN122" s="69"/>
      <c r="OPO122" s="69"/>
      <c r="OPP122" s="69"/>
      <c r="OPQ122" s="69"/>
      <c r="OPR122" s="69"/>
      <c r="OPS122" s="69"/>
      <c r="OPT122" s="69"/>
      <c r="OPU122" s="69"/>
      <c r="OPV122" s="69"/>
      <c r="OPW122" s="69"/>
      <c r="OPX122" s="69"/>
      <c r="OPY122" s="69"/>
      <c r="OPZ122" s="69"/>
      <c r="OQA122" s="69"/>
      <c r="OQB122" s="69"/>
      <c r="OQC122" s="69"/>
      <c r="OQD122" s="69"/>
      <c r="OQE122" s="69"/>
      <c r="OQF122" s="69"/>
      <c r="OQG122" s="69"/>
      <c r="OQH122" s="69"/>
      <c r="OQI122" s="69"/>
      <c r="OQJ122" s="69"/>
      <c r="OQK122" s="69"/>
      <c r="OQL122" s="69"/>
      <c r="OQM122" s="69"/>
      <c r="OQN122" s="69"/>
      <c r="OQO122" s="69"/>
      <c r="OQP122" s="69"/>
      <c r="OQQ122" s="69"/>
      <c r="OQR122" s="69"/>
      <c r="OQS122" s="69"/>
      <c r="OQT122" s="69"/>
      <c r="OQU122" s="69"/>
      <c r="OQV122" s="69"/>
      <c r="OQW122" s="69"/>
      <c r="OQX122" s="69"/>
      <c r="OQY122" s="69"/>
      <c r="OQZ122" s="69"/>
      <c r="ORA122" s="69"/>
      <c r="ORB122" s="69"/>
      <c r="ORC122" s="69"/>
      <c r="ORD122" s="69"/>
      <c r="ORE122" s="69"/>
      <c r="ORF122" s="69"/>
      <c r="ORG122" s="69"/>
      <c r="ORH122" s="69"/>
      <c r="ORI122" s="69"/>
      <c r="ORJ122" s="69"/>
      <c r="ORK122" s="69"/>
      <c r="ORL122" s="69"/>
      <c r="ORM122" s="69"/>
      <c r="ORN122" s="69"/>
      <c r="ORO122" s="69"/>
      <c r="ORP122" s="69"/>
      <c r="ORQ122" s="69"/>
      <c r="ORR122" s="69"/>
      <c r="ORS122" s="69"/>
      <c r="ORT122" s="69"/>
      <c r="ORU122" s="69"/>
      <c r="ORV122" s="69"/>
      <c r="ORW122" s="69"/>
      <c r="ORX122" s="69"/>
      <c r="ORY122" s="69"/>
      <c r="ORZ122" s="69"/>
      <c r="OSA122" s="69"/>
      <c r="OSB122" s="69"/>
      <c r="OSC122" s="69"/>
      <c r="OSD122" s="69"/>
      <c r="OSE122" s="69"/>
      <c r="OSF122" s="69"/>
      <c r="OSG122" s="69"/>
      <c r="OSH122" s="69"/>
      <c r="OSI122" s="69"/>
      <c r="OSJ122" s="69"/>
      <c r="OSK122" s="69"/>
      <c r="OSL122" s="69"/>
      <c r="OSM122" s="69"/>
      <c r="OSN122" s="69"/>
      <c r="OSO122" s="69"/>
      <c r="OSP122" s="69"/>
      <c r="OSQ122" s="69"/>
      <c r="OSR122" s="69"/>
      <c r="OSS122" s="69"/>
      <c r="OST122" s="69"/>
      <c r="OSU122" s="69"/>
      <c r="OSV122" s="69"/>
      <c r="OSW122" s="69"/>
      <c r="OSX122" s="69"/>
      <c r="OSY122" s="69"/>
      <c r="OSZ122" s="69"/>
      <c r="OTA122" s="69"/>
      <c r="OTB122" s="69"/>
      <c r="OTC122" s="69"/>
      <c r="OTD122" s="69"/>
      <c r="OTE122" s="69"/>
      <c r="OTF122" s="69"/>
      <c r="OTG122" s="69"/>
      <c r="OTH122" s="69"/>
      <c r="OTI122" s="69"/>
      <c r="OTJ122" s="69"/>
      <c r="OTK122" s="69"/>
      <c r="OTL122" s="69"/>
      <c r="OTM122" s="69"/>
      <c r="OTN122" s="69"/>
      <c r="OTO122" s="69"/>
      <c r="OTP122" s="69"/>
      <c r="OTQ122" s="69"/>
      <c r="OTR122" s="69"/>
      <c r="OTS122" s="69"/>
      <c r="OTT122" s="69"/>
      <c r="OTU122" s="69"/>
      <c r="OTV122" s="69"/>
      <c r="OTW122" s="69"/>
      <c r="OTX122" s="69"/>
      <c r="OTY122" s="69"/>
      <c r="OTZ122" s="69"/>
      <c r="OUA122" s="69"/>
      <c r="OUB122" s="69"/>
      <c r="OUC122" s="69"/>
      <c r="OUD122" s="69"/>
      <c r="OUE122" s="69"/>
      <c r="OUF122" s="69"/>
      <c r="OUG122" s="69"/>
      <c r="OUH122" s="69"/>
      <c r="OUI122" s="69"/>
      <c r="OUJ122" s="69"/>
      <c r="OUK122" s="69"/>
      <c r="OUL122" s="69"/>
      <c r="OUM122" s="69"/>
      <c r="OUN122" s="69"/>
      <c r="OUO122" s="69"/>
      <c r="OUP122" s="69"/>
      <c r="OUQ122" s="69"/>
      <c r="OUR122" s="69"/>
      <c r="OUS122" s="69"/>
      <c r="OUT122" s="69"/>
      <c r="OUU122" s="69"/>
      <c r="OUV122" s="69"/>
      <c r="OUW122" s="69"/>
      <c r="OUX122" s="69"/>
      <c r="OUY122" s="69"/>
      <c r="OUZ122" s="69"/>
      <c r="OVA122" s="69"/>
      <c r="OVB122" s="69"/>
      <c r="OVC122" s="69"/>
      <c r="OVD122" s="69"/>
      <c r="OVE122" s="69"/>
      <c r="OVF122" s="69"/>
      <c r="OVG122" s="69"/>
      <c r="OVH122" s="69"/>
      <c r="OVI122" s="69"/>
      <c r="OVJ122" s="69"/>
      <c r="OVK122" s="69"/>
      <c r="OVL122" s="69"/>
      <c r="OVM122" s="69"/>
      <c r="OVN122" s="69"/>
      <c r="OVO122" s="69"/>
      <c r="OVP122" s="69"/>
      <c r="OVQ122" s="69"/>
      <c r="OVR122" s="69"/>
      <c r="OVS122" s="69"/>
      <c r="OVT122" s="69"/>
      <c r="OVU122" s="69"/>
      <c r="OVV122" s="69"/>
      <c r="OVW122" s="69"/>
      <c r="OVX122" s="69"/>
      <c r="OVY122" s="69"/>
      <c r="OVZ122" s="69"/>
      <c r="OWA122" s="69"/>
      <c r="OWB122" s="69"/>
      <c r="OWC122" s="69"/>
      <c r="OWD122" s="69"/>
      <c r="OWE122" s="69"/>
      <c r="OWF122" s="69"/>
      <c r="OWG122" s="69"/>
      <c r="OWH122" s="69"/>
      <c r="OWI122" s="69"/>
      <c r="OWJ122" s="69"/>
      <c r="OWK122" s="69"/>
      <c r="OWL122" s="69"/>
      <c r="OWM122" s="69"/>
      <c r="OWN122" s="69"/>
      <c r="OWO122" s="69"/>
      <c r="OWP122" s="69"/>
      <c r="OWQ122" s="69"/>
      <c r="OWR122" s="69"/>
      <c r="OWS122" s="69"/>
      <c r="OWT122" s="69"/>
      <c r="OWU122" s="69"/>
      <c r="OWV122" s="69"/>
      <c r="OWW122" s="69"/>
      <c r="OWX122" s="69"/>
      <c r="OWY122" s="69"/>
      <c r="OWZ122" s="69"/>
      <c r="OXA122" s="69"/>
      <c r="OXB122" s="69"/>
      <c r="OXC122" s="69"/>
      <c r="OXD122" s="69"/>
      <c r="OXE122" s="69"/>
      <c r="OXF122" s="69"/>
      <c r="OXG122" s="69"/>
      <c r="OXH122" s="69"/>
      <c r="OXI122" s="69"/>
      <c r="OXJ122" s="69"/>
      <c r="OXK122" s="69"/>
      <c r="OXL122" s="69"/>
      <c r="OXM122" s="69"/>
      <c r="OXN122" s="69"/>
      <c r="OXO122" s="69"/>
      <c r="OXP122" s="69"/>
      <c r="OXQ122" s="69"/>
      <c r="OXR122" s="69"/>
      <c r="OXS122" s="69"/>
      <c r="OXT122" s="69"/>
      <c r="OXU122" s="69"/>
      <c r="OXV122" s="69"/>
      <c r="OXW122" s="69"/>
      <c r="OXX122" s="69"/>
      <c r="OXY122" s="69"/>
      <c r="OXZ122" s="69"/>
      <c r="OYA122" s="69"/>
      <c r="OYB122" s="69"/>
      <c r="OYC122" s="69"/>
      <c r="OYD122" s="69"/>
      <c r="OYE122" s="69"/>
      <c r="OYF122" s="69"/>
      <c r="OYG122" s="69"/>
      <c r="OYH122" s="69"/>
      <c r="OYI122" s="69"/>
      <c r="OYJ122" s="69"/>
      <c r="OYK122" s="69"/>
      <c r="OYL122" s="69"/>
      <c r="OYM122" s="69"/>
      <c r="OYN122" s="69"/>
      <c r="OYO122" s="69"/>
      <c r="OYP122" s="69"/>
      <c r="OYQ122" s="69"/>
      <c r="OYR122" s="69"/>
      <c r="OYS122" s="69"/>
      <c r="OYT122" s="69"/>
      <c r="OYU122" s="69"/>
      <c r="OYV122" s="69"/>
      <c r="OYW122" s="69"/>
      <c r="OYX122" s="69"/>
      <c r="OYY122" s="69"/>
      <c r="OYZ122" s="69"/>
      <c r="OZA122" s="69"/>
      <c r="OZB122" s="69"/>
      <c r="OZC122" s="69"/>
      <c r="OZD122" s="69"/>
      <c r="OZE122" s="69"/>
      <c r="OZF122" s="69"/>
      <c r="OZG122" s="69"/>
      <c r="OZH122" s="69"/>
      <c r="OZI122" s="69"/>
      <c r="OZJ122" s="69"/>
      <c r="OZK122" s="69"/>
      <c r="OZL122" s="69"/>
      <c r="OZM122" s="69"/>
      <c r="OZN122" s="69"/>
      <c r="OZO122" s="69"/>
      <c r="OZP122" s="69"/>
      <c r="OZQ122" s="69"/>
      <c r="OZR122" s="69"/>
      <c r="OZS122" s="69"/>
      <c r="OZT122" s="69"/>
      <c r="OZU122" s="69"/>
      <c r="OZV122" s="69"/>
      <c r="OZW122" s="69"/>
      <c r="OZX122" s="69"/>
      <c r="OZY122" s="69"/>
      <c r="OZZ122" s="69"/>
      <c r="PAA122" s="69"/>
      <c r="PAB122" s="69"/>
      <c r="PAC122" s="69"/>
      <c r="PAD122" s="69"/>
      <c r="PAE122" s="69"/>
      <c r="PAF122" s="69"/>
      <c r="PAG122" s="69"/>
      <c r="PAH122" s="69"/>
      <c r="PAI122" s="69"/>
      <c r="PAJ122" s="69"/>
      <c r="PAK122" s="69"/>
      <c r="PAL122" s="69"/>
      <c r="PAM122" s="69"/>
      <c r="PAN122" s="69"/>
      <c r="PAO122" s="69"/>
      <c r="PAP122" s="69"/>
      <c r="PAQ122" s="69"/>
      <c r="PAR122" s="69"/>
      <c r="PAS122" s="69"/>
      <c r="PAT122" s="69"/>
      <c r="PAU122" s="69"/>
      <c r="PAV122" s="69"/>
      <c r="PAW122" s="69"/>
      <c r="PAX122" s="69"/>
      <c r="PAY122" s="69"/>
      <c r="PAZ122" s="69"/>
      <c r="PBA122" s="69"/>
      <c r="PBB122" s="69"/>
      <c r="PBC122" s="69"/>
      <c r="PBD122" s="69"/>
      <c r="PBE122" s="69"/>
      <c r="PBF122" s="69"/>
      <c r="PBG122" s="69"/>
      <c r="PBH122" s="69"/>
      <c r="PBI122" s="69"/>
      <c r="PBJ122" s="69"/>
      <c r="PBK122" s="69"/>
      <c r="PBL122" s="69"/>
      <c r="PBM122" s="69"/>
      <c r="PBN122" s="69"/>
      <c r="PBO122" s="69"/>
      <c r="PBP122" s="69"/>
      <c r="PBQ122" s="69"/>
      <c r="PBR122" s="69"/>
      <c r="PBS122" s="69"/>
      <c r="PBT122" s="69"/>
      <c r="PBU122" s="69"/>
      <c r="PBV122" s="69"/>
      <c r="PBW122" s="69"/>
      <c r="PBX122" s="69"/>
      <c r="PBY122" s="69"/>
      <c r="PBZ122" s="69"/>
      <c r="PCA122" s="69"/>
      <c r="PCB122" s="69"/>
      <c r="PCC122" s="69"/>
      <c r="PCD122" s="69"/>
      <c r="PCE122" s="69"/>
      <c r="PCF122" s="69"/>
      <c r="PCG122" s="69"/>
      <c r="PCH122" s="69"/>
      <c r="PCI122" s="69"/>
      <c r="PCJ122" s="69"/>
      <c r="PCK122" s="69"/>
      <c r="PCL122" s="69"/>
      <c r="PCM122" s="69"/>
      <c r="PCN122" s="69"/>
      <c r="PCO122" s="69"/>
      <c r="PCP122" s="69"/>
      <c r="PCQ122" s="69"/>
      <c r="PCR122" s="69"/>
      <c r="PCS122" s="69"/>
      <c r="PCT122" s="69"/>
      <c r="PCU122" s="69"/>
      <c r="PCV122" s="69"/>
      <c r="PCW122" s="69"/>
      <c r="PCX122" s="69"/>
      <c r="PCY122" s="69"/>
      <c r="PCZ122" s="69"/>
      <c r="PDA122" s="69"/>
      <c r="PDB122" s="69"/>
      <c r="PDC122" s="69"/>
      <c r="PDD122" s="69"/>
      <c r="PDE122" s="69"/>
      <c r="PDF122" s="69"/>
      <c r="PDG122" s="69"/>
      <c r="PDH122" s="69"/>
      <c r="PDI122" s="69"/>
      <c r="PDJ122" s="69"/>
      <c r="PDK122" s="69"/>
      <c r="PDL122" s="69"/>
      <c r="PDM122" s="69"/>
      <c r="PDN122" s="69"/>
      <c r="PDO122" s="69"/>
      <c r="PDP122" s="69"/>
      <c r="PDQ122" s="69"/>
      <c r="PDR122" s="69"/>
      <c r="PDS122" s="69"/>
      <c r="PDT122" s="69"/>
      <c r="PDU122" s="69"/>
      <c r="PDV122" s="69"/>
      <c r="PDW122" s="69"/>
      <c r="PDX122" s="69"/>
      <c r="PDY122" s="69"/>
      <c r="PDZ122" s="69"/>
      <c r="PEA122" s="69"/>
      <c r="PEB122" s="69"/>
      <c r="PEC122" s="69"/>
      <c r="PED122" s="69"/>
      <c r="PEE122" s="69"/>
      <c r="PEF122" s="69"/>
      <c r="PEG122" s="69"/>
      <c r="PEH122" s="69"/>
      <c r="PEI122" s="69"/>
      <c r="PEJ122" s="69"/>
      <c r="PEK122" s="69"/>
      <c r="PEL122" s="69"/>
      <c r="PEM122" s="69"/>
      <c r="PEN122" s="69"/>
      <c r="PEO122" s="69"/>
      <c r="PEP122" s="69"/>
      <c r="PEQ122" s="69"/>
      <c r="PER122" s="69"/>
      <c r="PES122" s="69"/>
      <c r="PET122" s="69"/>
      <c r="PEU122" s="69"/>
      <c r="PEV122" s="69"/>
      <c r="PEW122" s="69"/>
      <c r="PEX122" s="69"/>
      <c r="PEY122" s="69"/>
      <c r="PEZ122" s="69"/>
      <c r="PFA122" s="69"/>
      <c r="PFB122" s="69"/>
      <c r="PFC122" s="69"/>
      <c r="PFD122" s="69"/>
      <c r="PFE122" s="69"/>
      <c r="PFF122" s="69"/>
      <c r="PFG122" s="69"/>
      <c r="PFH122" s="69"/>
      <c r="PFI122" s="69"/>
      <c r="PFJ122" s="69"/>
      <c r="PFK122" s="69"/>
      <c r="PFL122" s="69"/>
      <c r="PFM122" s="69"/>
      <c r="PFN122" s="69"/>
      <c r="PFO122" s="69"/>
      <c r="PFP122" s="69"/>
      <c r="PFQ122" s="69"/>
      <c r="PFR122" s="69"/>
      <c r="PFS122" s="69"/>
      <c r="PFT122" s="69"/>
      <c r="PFU122" s="69"/>
      <c r="PFV122" s="69"/>
      <c r="PFW122" s="69"/>
      <c r="PFX122" s="69"/>
      <c r="PFY122" s="69"/>
      <c r="PFZ122" s="69"/>
      <c r="PGA122" s="69"/>
      <c r="PGB122" s="69"/>
      <c r="PGC122" s="69"/>
      <c r="PGD122" s="69"/>
      <c r="PGE122" s="69"/>
      <c r="PGF122" s="69"/>
      <c r="PGG122" s="69"/>
      <c r="PGH122" s="69"/>
      <c r="PGI122" s="69"/>
      <c r="PGJ122" s="69"/>
      <c r="PGK122" s="69"/>
      <c r="PGL122" s="69"/>
      <c r="PGM122" s="69"/>
      <c r="PGN122" s="69"/>
      <c r="PGO122" s="69"/>
      <c r="PGP122" s="69"/>
      <c r="PGQ122" s="69"/>
      <c r="PGR122" s="69"/>
      <c r="PGS122" s="69"/>
      <c r="PGT122" s="69"/>
      <c r="PGU122" s="69"/>
      <c r="PGV122" s="69"/>
      <c r="PGW122" s="69"/>
      <c r="PGX122" s="69"/>
      <c r="PGY122" s="69"/>
      <c r="PGZ122" s="69"/>
      <c r="PHA122" s="69"/>
      <c r="PHB122" s="69"/>
      <c r="PHC122" s="69"/>
      <c r="PHD122" s="69"/>
      <c r="PHE122" s="69"/>
      <c r="PHF122" s="69"/>
      <c r="PHG122" s="69"/>
      <c r="PHH122" s="69"/>
      <c r="PHI122" s="69"/>
      <c r="PHJ122" s="69"/>
      <c r="PHK122" s="69"/>
      <c r="PHL122" s="69"/>
      <c r="PHM122" s="69"/>
      <c r="PHN122" s="69"/>
      <c r="PHO122" s="69"/>
      <c r="PHP122" s="69"/>
      <c r="PHQ122" s="69"/>
      <c r="PHR122" s="69"/>
      <c r="PHS122" s="69"/>
      <c r="PHT122" s="69"/>
      <c r="PHU122" s="69"/>
      <c r="PHV122" s="69"/>
      <c r="PHW122" s="69"/>
      <c r="PHX122" s="69"/>
      <c r="PHY122" s="69"/>
      <c r="PHZ122" s="69"/>
      <c r="PIA122" s="69"/>
      <c r="PIB122" s="69"/>
      <c r="PIC122" s="69"/>
      <c r="PID122" s="69"/>
      <c r="PIE122" s="69"/>
      <c r="PIF122" s="69"/>
      <c r="PIG122" s="69"/>
      <c r="PIH122" s="69"/>
      <c r="PII122" s="69"/>
      <c r="PIJ122" s="69"/>
      <c r="PIK122" s="69"/>
      <c r="PIL122" s="69"/>
      <c r="PIM122" s="69"/>
      <c r="PIN122" s="69"/>
      <c r="PIO122" s="69"/>
      <c r="PIP122" s="69"/>
      <c r="PIQ122" s="69"/>
      <c r="PIR122" s="69"/>
      <c r="PIS122" s="69"/>
      <c r="PIT122" s="69"/>
      <c r="PIU122" s="69"/>
      <c r="PIV122" s="69"/>
      <c r="PIW122" s="69"/>
      <c r="PIX122" s="69"/>
      <c r="PIY122" s="69"/>
      <c r="PIZ122" s="69"/>
      <c r="PJA122" s="69"/>
      <c r="PJB122" s="69"/>
      <c r="PJC122" s="69"/>
      <c r="PJD122" s="69"/>
      <c r="PJE122" s="69"/>
      <c r="PJF122" s="69"/>
      <c r="PJG122" s="69"/>
      <c r="PJH122" s="69"/>
      <c r="PJI122" s="69"/>
      <c r="PJJ122" s="69"/>
      <c r="PJK122" s="69"/>
      <c r="PJL122" s="69"/>
      <c r="PJM122" s="69"/>
      <c r="PJN122" s="69"/>
      <c r="PJO122" s="69"/>
      <c r="PJP122" s="69"/>
      <c r="PJQ122" s="69"/>
      <c r="PJR122" s="69"/>
      <c r="PJS122" s="69"/>
      <c r="PJT122" s="69"/>
      <c r="PJU122" s="69"/>
      <c r="PJV122" s="69"/>
      <c r="PJW122" s="69"/>
      <c r="PJX122" s="69"/>
      <c r="PJY122" s="69"/>
      <c r="PJZ122" s="69"/>
      <c r="PKA122" s="69"/>
      <c r="PKB122" s="69"/>
      <c r="PKC122" s="69"/>
      <c r="PKD122" s="69"/>
      <c r="PKE122" s="69"/>
      <c r="PKF122" s="69"/>
      <c r="PKG122" s="69"/>
      <c r="PKH122" s="69"/>
      <c r="PKI122" s="69"/>
      <c r="PKJ122" s="69"/>
      <c r="PKK122" s="69"/>
      <c r="PKL122" s="69"/>
      <c r="PKM122" s="69"/>
      <c r="PKN122" s="69"/>
      <c r="PKO122" s="69"/>
      <c r="PKP122" s="69"/>
      <c r="PKQ122" s="69"/>
      <c r="PKR122" s="69"/>
      <c r="PKS122" s="69"/>
      <c r="PKT122" s="69"/>
      <c r="PKU122" s="69"/>
      <c r="PKV122" s="69"/>
      <c r="PKW122" s="69"/>
      <c r="PKX122" s="69"/>
      <c r="PKY122" s="69"/>
      <c r="PKZ122" s="69"/>
      <c r="PLA122" s="69"/>
      <c r="PLB122" s="69"/>
      <c r="PLC122" s="69"/>
      <c r="PLD122" s="69"/>
      <c r="PLE122" s="69"/>
      <c r="PLF122" s="69"/>
      <c r="PLG122" s="69"/>
      <c r="PLH122" s="69"/>
      <c r="PLI122" s="69"/>
      <c r="PLJ122" s="69"/>
      <c r="PLK122" s="69"/>
      <c r="PLL122" s="69"/>
      <c r="PLM122" s="69"/>
      <c r="PLN122" s="69"/>
      <c r="PLO122" s="69"/>
      <c r="PLP122" s="69"/>
      <c r="PLQ122" s="69"/>
      <c r="PLR122" s="69"/>
      <c r="PLS122" s="69"/>
      <c r="PLT122" s="69"/>
      <c r="PLU122" s="69"/>
      <c r="PLV122" s="69"/>
      <c r="PLW122" s="69"/>
      <c r="PLX122" s="69"/>
      <c r="PLY122" s="69"/>
      <c r="PLZ122" s="69"/>
      <c r="PMA122" s="69"/>
      <c r="PMB122" s="69"/>
      <c r="PMC122" s="69"/>
      <c r="PMD122" s="69"/>
      <c r="PME122" s="69"/>
      <c r="PMF122" s="69"/>
      <c r="PMG122" s="69"/>
      <c r="PMH122" s="69"/>
      <c r="PMI122" s="69"/>
      <c r="PMJ122" s="69"/>
      <c r="PMK122" s="69"/>
      <c r="PML122" s="69"/>
      <c r="PMM122" s="69"/>
      <c r="PMN122" s="69"/>
      <c r="PMO122" s="69"/>
      <c r="PMP122" s="69"/>
      <c r="PMQ122" s="69"/>
      <c r="PMR122" s="69"/>
      <c r="PMS122" s="69"/>
      <c r="PMT122" s="69"/>
      <c r="PMU122" s="69"/>
      <c r="PMV122" s="69"/>
      <c r="PMW122" s="69"/>
      <c r="PMX122" s="69"/>
      <c r="PMY122" s="69"/>
      <c r="PMZ122" s="69"/>
      <c r="PNA122" s="69"/>
      <c r="PNB122" s="69"/>
      <c r="PNC122" s="69"/>
      <c r="PND122" s="69"/>
      <c r="PNE122" s="69"/>
      <c r="PNF122" s="69"/>
      <c r="PNG122" s="69"/>
      <c r="PNH122" s="69"/>
      <c r="PNI122" s="69"/>
      <c r="PNJ122" s="69"/>
      <c r="PNK122" s="69"/>
      <c r="PNL122" s="69"/>
      <c r="PNM122" s="69"/>
      <c r="PNN122" s="69"/>
      <c r="PNO122" s="69"/>
      <c r="PNP122" s="69"/>
      <c r="PNQ122" s="69"/>
      <c r="PNR122" s="69"/>
      <c r="PNS122" s="69"/>
      <c r="PNT122" s="69"/>
      <c r="PNU122" s="69"/>
      <c r="PNV122" s="69"/>
      <c r="PNW122" s="69"/>
      <c r="PNX122" s="69"/>
      <c r="PNY122" s="69"/>
      <c r="PNZ122" s="69"/>
      <c r="POA122" s="69"/>
      <c r="POB122" s="69"/>
      <c r="POC122" s="69"/>
      <c r="POD122" s="69"/>
      <c r="POE122" s="69"/>
      <c r="POF122" s="69"/>
      <c r="POG122" s="69"/>
      <c r="POH122" s="69"/>
      <c r="POI122" s="69"/>
      <c r="POJ122" s="69"/>
      <c r="POK122" s="69"/>
      <c r="POL122" s="69"/>
      <c r="POM122" s="69"/>
      <c r="PON122" s="69"/>
      <c r="POO122" s="69"/>
      <c r="POP122" s="69"/>
      <c r="POQ122" s="69"/>
      <c r="POR122" s="69"/>
      <c r="POS122" s="69"/>
      <c r="POT122" s="69"/>
      <c r="POU122" s="69"/>
      <c r="POV122" s="69"/>
      <c r="POW122" s="69"/>
      <c r="POX122" s="69"/>
      <c r="POY122" s="69"/>
      <c r="POZ122" s="69"/>
      <c r="PPA122" s="69"/>
      <c r="PPB122" s="69"/>
      <c r="PPC122" s="69"/>
      <c r="PPD122" s="69"/>
      <c r="PPE122" s="69"/>
      <c r="PPF122" s="69"/>
      <c r="PPG122" s="69"/>
      <c r="PPH122" s="69"/>
      <c r="PPI122" s="69"/>
      <c r="PPJ122" s="69"/>
      <c r="PPK122" s="69"/>
      <c r="PPL122" s="69"/>
      <c r="PPM122" s="69"/>
      <c r="PPN122" s="69"/>
      <c r="PPO122" s="69"/>
      <c r="PPP122" s="69"/>
      <c r="PPQ122" s="69"/>
      <c r="PPR122" s="69"/>
      <c r="PPS122" s="69"/>
      <c r="PPT122" s="69"/>
      <c r="PPU122" s="69"/>
      <c r="PPV122" s="69"/>
      <c r="PPW122" s="69"/>
      <c r="PPX122" s="69"/>
      <c r="PPY122" s="69"/>
      <c r="PPZ122" s="69"/>
      <c r="PQA122" s="69"/>
      <c r="PQB122" s="69"/>
      <c r="PQC122" s="69"/>
      <c r="PQD122" s="69"/>
      <c r="PQE122" s="69"/>
      <c r="PQF122" s="69"/>
      <c r="PQG122" s="69"/>
      <c r="PQH122" s="69"/>
      <c r="PQI122" s="69"/>
      <c r="PQJ122" s="69"/>
      <c r="PQK122" s="69"/>
      <c r="PQL122" s="69"/>
      <c r="PQM122" s="69"/>
      <c r="PQN122" s="69"/>
      <c r="PQO122" s="69"/>
      <c r="PQP122" s="69"/>
      <c r="PQQ122" s="69"/>
      <c r="PQR122" s="69"/>
      <c r="PQS122" s="69"/>
      <c r="PQT122" s="69"/>
      <c r="PQU122" s="69"/>
      <c r="PQV122" s="69"/>
      <c r="PQW122" s="69"/>
      <c r="PQX122" s="69"/>
      <c r="PQY122" s="69"/>
      <c r="PQZ122" s="69"/>
      <c r="PRA122" s="69"/>
      <c r="PRB122" s="69"/>
      <c r="PRC122" s="69"/>
      <c r="PRD122" s="69"/>
      <c r="PRE122" s="69"/>
      <c r="PRF122" s="69"/>
      <c r="PRG122" s="69"/>
      <c r="PRH122" s="69"/>
      <c r="PRI122" s="69"/>
      <c r="PRJ122" s="69"/>
      <c r="PRK122" s="69"/>
      <c r="PRL122" s="69"/>
      <c r="PRM122" s="69"/>
      <c r="PRN122" s="69"/>
      <c r="PRO122" s="69"/>
      <c r="PRP122" s="69"/>
      <c r="PRQ122" s="69"/>
      <c r="PRR122" s="69"/>
      <c r="PRS122" s="69"/>
      <c r="PRT122" s="69"/>
      <c r="PRU122" s="69"/>
      <c r="PRV122" s="69"/>
      <c r="PRW122" s="69"/>
      <c r="PRX122" s="69"/>
      <c r="PRY122" s="69"/>
      <c r="PRZ122" s="69"/>
      <c r="PSA122" s="69"/>
      <c r="PSB122" s="69"/>
      <c r="PSC122" s="69"/>
      <c r="PSD122" s="69"/>
      <c r="PSE122" s="69"/>
      <c r="PSF122" s="69"/>
      <c r="PSG122" s="69"/>
      <c r="PSH122" s="69"/>
      <c r="PSI122" s="69"/>
      <c r="PSJ122" s="69"/>
      <c r="PSK122" s="69"/>
      <c r="PSL122" s="69"/>
      <c r="PSM122" s="69"/>
      <c r="PSN122" s="69"/>
      <c r="PSO122" s="69"/>
      <c r="PSP122" s="69"/>
      <c r="PSQ122" s="69"/>
      <c r="PSR122" s="69"/>
      <c r="PSS122" s="69"/>
      <c r="PST122" s="69"/>
      <c r="PSU122" s="69"/>
      <c r="PSV122" s="69"/>
      <c r="PSW122" s="69"/>
      <c r="PSX122" s="69"/>
      <c r="PSY122" s="69"/>
      <c r="PSZ122" s="69"/>
      <c r="PTA122" s="69"/>
      <c r="PTB122" s="69"/>
      <c r="PTC122" s="69"/>
      <c r="PTD122" s="69"/>
      <c r="PTE122" s="69"/>
      <c r="PTF122" s="69"/>
      <c r="PTG122" s="69"/>
      <c r="PTH122" s="69"/>
      <c r="PTI122" s="69"/>
      <c r="PTJ122" s="69"/>
      <c r="PTK122" s="69"/>
      <c r="PTL122" s="69"/>
      <c r="PTM122" s="69"/>
      <c r="PTN122" s="69"/>
      <c r="PTO122" s="69"/>
      <c r="PTP122" s="69"/>
      <c r="PTQ122" s="69"/>
      <c r="PTR122" s="69"/>
      <c r="PTS122" s="69"/>
      <c r="PTT122" s="69"/>
      <c r="PTU122" s="69"/>
      <c r="PTV122" s="69"/>
      <c r="PTW122" s="69"/>
      <c r="PTX122" s="69"/>
      <c r="PTY122" s="69"/>
      <c r="PTZ122" s="69"/>
      <c r="PUA122" s="69"/>
      <c r="PUB122" s="69"/>
      <c r="PUC122" s="69"/>
      <c r="PUD122" s="69"/>
      <c r="PUE122" s="69"/>
      <c r="PUF122" s="69"/>
      <c r="PUG122" s="69"/>
      <c r="PUH122" s="69"/>
      <c r="PUI122" s="69"/>
      <c r="PUJ122" s="69"/>
      <c r="PUK122" s="69"/>
      <c r="PUL122" s="69"/>
      <c r="PUM122" s="69"/>
      <c r="PUN122" s="69"/>
      <c r="PUO122" s="69"/>
      <c r="PUP122" s="69"/>
      <c r="PUQ122" s="69"/>
      <c r="PUR122" s="69"/>
      <c r="PUS122" s="69"/>
      <c r="PUT122" s="69"/>
      <c r="PUU122" s="69"/>
      <c r="PUV122" s="69"/>
      <c r="PUW122" s="69"/>
      <c r="PUX122" s="69"/>
      <c r="PUY122" s="69"/>
      <c r="PUZ122" s="69"/>
      <c r="PVA122" s="69"/>
      <c r="PVB122" s="69"/>
      <c r="PVC122" s="69"/>
      <c r="PVD122" s="69"/>
      <c r="PVE122" s="69"/>
      <c r="PVF122" s="69"/>
      <c r="PVG122" s="69"/>
      <c r="PVH122" s="69"/>
      <c r="PVI122" s="69"/>
      <c r="PVJ122" s="69"/>
      <c r="PVK122" s="69"/>
      <c r="PVL122" s="69"/>
      <c r="PVM122" s="69"/>
      <c r="PVN122" s="69"/>
      <c r="PVO122" s="69"/>
      <c r="PVP122" s="69"/>
      <c r="PVQ122" s="69"/>
      <c r="PVR122" s="69"/>
      <c r="PVS122" s="69"/>
      <c r="PVT122" s="69"/>
      <c r="PVU122" s="69"/>
      <c r="PVV122" s="69"/>
      <c r="PVW122" s="69"/>
      <c r="PVX122" s="69"/>
      <c r="PVY122" s="69"/>
      <c r="PVZ122" s="69"/>
      <c r="PWA122" s="69"/>
      <c r="PWB122" s="69"/>
      <c r="PWC122" s="69"/>
      <c r="PWD122" s="69"/>
      <c r="PWE122" s="69"/>
      <c r="PWF122" s="69"/>
      <c r="PWG122" s="69"/>
      <c r="PWH122" s="69"/>
      <c r="PWI122" s="69"/>
      <c r="PWJ122" s="69"/>
      <c r="PWK122" s="69"/>
      <c r="PWL122" s="69"/>
      <c r="PWM122" s="69"/>
      <c r="PWN122" s="69"/>
      <c r="PWO122" s="69"/>
      <c r="PWP122" s="69"/>
      <c r="PWQ122" s="69"/>
      <c r="PWR122" s="69"/>
      <c r="PWS122" s="69"/>
      <c r="PWT122" s="69"/>
      <c r="PWU122" s="69"/>
      <c r="PWV122" s="69"/>
      <c r="PWW122" s="69"/>
      <c r="PWX122" s="69"/>
      <c r="PWY122" s="69"/>
      <c r="PWZ122" s="69"/>
      <c r="PXA122" s="69"/>
      <c r="PXB122" s="69"/>
      <c r="PXC122" s="69"/>
      <c r="PXD122" s="69"/>
      <c r="PXE122" s="69"/>
      <c r="PXF122" s="69"/>
      <c r="PXG122" s="69"/>
      <c r="PXH122" s="69"/>
      <c r="PXI122" s="69"/>
      <c r="PXJ122" s="69"/>
      <c r="PXK122" s="69"/>
      <c r="PXL122" s="69"/>
      <c r="PXM122" s="69"/>
      <c r="PXN122" s="69"/>
      <c r="PXO122" s="69"/>
      <c r="PXP122" s="69"/>
      <c r="PXQ122" s="69"/>
      <c r="PXR122" s="69"/>
      <c r="PXS122" s="69"/>
      <c r="PXT122" s="69"/>
      <c r="PXU122" s="69"/>
      <c r="PXV122" s="69"/>
      <c r="PXW122" s="69"/>
      <c r="PXX122" s="69"/>
      <c r="PXY122" s="69"/>
      <c r="PXZ122" s="69"/>
      <c r="PYA122" s="69"/>
      <c r="PYB122" s="69"/>
      <c r="PYC122" s="69"/>
      <c r="PYD122" s="69"/>
      <c r="PYE122" s="69"/>
      <c r="PYF122" s="69"/>
      <c r="PYG122" s="69"/>
      <c r="PYH122" s="69"/>
      <c r="PYI122" s="69"/>
      <c r="PYJ122" s="69"/>
      <c r="PYK122" s="69"/>
      <c r="PYL122" s="69"/>
      <c r="PYM122" s="69"/>
      <c r="PYN122" s="69"/>
      <c r="PYO122" s="69"/>
      <c r="PYP122" s="69"/>
      <c r="PYQ122" s="69"/>
      <c r="PYR122" s="69"/>
      <c r="PYS122" s="69"/>
      <c r="PYT122" s="69"/>
      <c r="PYU122" s="69"/>
      <c r="PYV122" s="69"/>
      <c r="PYW122" s="69"/>
      <c r="PYX122" s="69"/>
      <c r="PYY122" s="69"/>
      <c r="PYZ122" s="69"/>
      <c r="PZA122" s="69"/>
      <c r="PZB122" s="69"/>
      <c r="PZC122" s="69"/>
      <c r="PZD122" s="69"/>
      <c r="PZE122" s="69"/>
      <c r="PZF122" s="69"/>
      <c r="PZG122" s="69"/>
      <c r="PZH122" s="69"/>
      <c r="PZI122" s="69"/>
      <c r="PZJ122" s="69"/>
      <c r="PZK122" s="69"/>
      <c r="PZL122" s="69"/>
      <c r="PZM122" s="69"/>
      <c r="PZN122" s="69"/>
      <c r="PZO122" s="69"/>
      <c r="PZP122" s="69"/>
      <c r="PZQ122" s="69"/>
      <c r="PZR122" s="69"/>
      <c r="PZS122" s="69"/>
      <c r="PZT122" s="69"/>
      <c r="PZU122" s="69"/>
      <c r="PZV122" s="69"/>
      <c r="PZW122" s="69"/>
      <c r="PZX122" s="69"/>
      <c r="PZY122" s="69"/>
      <c r="PZZ122" s="69"/>
      <c r="QAA122" s="69"/>
      <c r="QAB122" s="69"/>
      <c r="QAC122" s="69"/>
      <c r="QAD122" s="69"/>
      <c r="QAE122" s="69"/>
      <c r="QAF122" s="69"/>
      <c r="QAG122" s="69"/>
      <c r="QAH122" s="69"/>
      <c r="QAI122" s="69"/>
      <c r="QAJ122" s="69"/>
      <c r="QAK122" s="69"/>
      <c r="QAL122" s="69"/>
      <c r="QAM122" s="69"/>
      <c r="QAN122" s="69"/>
      <c r="QAO122" s="69"/>
      <c r="QAP122" s="69"/>
      <c r="QAQ122" s="69"/>
      <c r="QAR122" s="69"/>
      <c r="QAS122" s="69"/>
      <c r="QAT122" s="69"/>
      <c r="QAU122" s="69"/>
      <c r="QAV122" s="69"/>
      <c r="QAW122" s="69"/>
      <c r="QAX122" s="69"/>
      <c r="QAY122" s="69"/>
      <c r="QAZ122" s="69"/>
      <c r="QBA122" s="69"/>
      <c r="QBB122" s="69"/>
      <c r="QBC122" s="69"/>
      <c r="QBD122" s="69"/>
      <c r="QBE122" s="69"/>
      <c r="QBF122" s="69"/>
      <c r="QBG122" s="69"/>
      <c r="QBH122" s="69"/>
      <c r="QBI122" s="69"/>
      <c r="QBJ122" s="69"/>
      <c r="QBK122" s="69"/>
      <c r="QBL122" s="69"/>
      <c r="QBM122" s="69"/>
      <c r="QBN122" s="69"/>
      <c r="QBO122" s="69"/>
      <c r="QBP122" s="69"/>
      <c r="QBQ122" s="69"/>
      <c r="QBR122" s="69"/>
      <c r="QBS122" s="69"/>
      <c r="QBT122" s="69"/>
      <c r="QBU122" s="69"/>
      <c r="QBV122" s="69"/>
      <c r="QBW122" s="69"/>
      <c r="QBX122" s="69"/>
      <c r="QBY122" s="69"/>
      <c r="QBZ122" s="69"/>
      <c r="QCA122" s="69"/>
      <c r="QCB122" s="69"/>
      <c r="QCC122" s="69"/>
      <c r="QCD122" s="69"/>
      <c r="QCE122" s="69"/>
      <c r="QCF122" s="69"/>
      <c r="QCG122" s="69"/>
      <c r="QCH122" s="69"/>
      <c r="QCI122" s="69"/>
      <c r="QCJ122" s="69"/>
      <c r="QCK122" s="69"/>
      <c r="QCL122" s="69"/>
      <c r="QCM122" s="69"/>
      <c r="QCN122" s="69"/>
      <c r="QCO122" s="69"/>
      <c r="QCP122" s="69"/>
      <c r="QCQ122" s="69"/>
      <c r="QCR122" s="69"/>
      <c r="QCS122" s="69"/>
      <c r="QCT122" s="69"/>
      <c r="QCU122" s="69"/>
      <c r="QCV122" s="69"/>
      <c r="QCW122" s="69"/>
      <c r="QCX122" s="69"/>
      <c r="QCY122" s="69"/>
      <c r="QCZ122" s="69"/>
      <c r="QDA122" s="69"/>
      <c r="QDB122" s="69"/>
      <c r="QDC122" s="69"/>
      <c r="QDD122" s="69"/>
      <c r="QDE122" s="69"/>
      <c r="QDF122" s="69"/>
      <c r="QDG122" s="69"/>
      <c r="QDH122" s="69"/>
      <c r="QDI122" s="69"/>
      <c r="QDJ122" s="69"/>
      <c r="QDK122" s="69"/>
      <c r="QDL122" s="69"/>
      <c r="QDM122" s="69"/>
      <c r="QDN122" s="69"/>
      <c r="QDO122" s="69"/>
      <c r="QDP122" s="69"/>
      <c r="QDQ122" s="69"/>
      <c r="QDR122" s="69"/>
      <c r="QDS122" s="69"/>
      <c r="QDT122" s="69"/>
      <c r="QDU122" s="69"/>
      <c r="QDV122" s="69"/>
      <c r="QDW122" s="69"/>
      <c r="QDX122" s="69"/>
      <c r="QDY122" s="69"/>
      <c r="QDZ122" s="69"/>
      <c r="QEA122" s="69"/>
      <c r="QEB122" s="69"/>
      <c r="QEC122" s="69"/>
      <c r="QED122" s="69"/>
      <c r="QEE122" s="69"/>
      <c r="QEF122" s="69"/>
      <c r="QEG122" s="69"/>
      <c r="QEH122" s="69"/>
      <c r="QEI122" s="69"/>
      <c r="QEJ122" s="69"/>
      <c r="QEK122" s="69"/>
      <c r="QEL122" s="69"/>
      <c r="QEM122" s="69"/>
      <c r="QEN122" s="69"/>
      <c r="QEO122" s="69"/>
      <c r="QEP122" s="69"/>
      <c r="QEQ122" s="69"/>
      <c r="QER122" s="69"/>
      <c r="QES122" s="69"/>
      <c r="QET122" s="69"/>
      <c r="QEU122" s="69"/>
      <c r="QEV122" s="69"/>
      <c r="QEW122" s="69"/>
      <c r="QEX122" s="69"/>
      <c r="QEY122" s="69"/>
      <c r="QEZ122" s="69"/>
      <c r="QFA122" s="69"/>
      <c r="QFB122" s="69"/>
      <c r="QFC122" s="69"/>
      <c r="QFD122" s="69"/>
      <c r="QFE122" s="69"/>
      <c r="QFF122" s="69"/>
      <c r="QFG122" s="69"/>
      <c r="QFH122" s="69"/>
      <c r="QFI122" s="69"/>
      <c r="QFJ122" s="69"/>
      <c r="QFK122" s="69"/>
      <c r="QFL122" s="69"/>
      <c r="QFM122" s="69"/>
      <c r="QFN122" s="69"/>
      <c r="QFO122" s="69"/>
      <c r="QFP122" s="69"/>
      <c r="QFQ122" s="69"/>
      <c r="QFR122" s="69"/>
      <c r="QFS122" s="69"/>
      <c r="QFT122" s="69"/>
      <c r="QFU122" s="69"/>
      <c r="QFV122" s="69"/>
      <c r="QFW122" s="69"/>
      <c r="QFX122" s="69"/>
      <c r="QFY122" s="69"/>
      <c r="QFZ122" s="69"/>
      <c r="QGA122" s="69"/>
      <c r="QGB122" s="69"/>
      <c r="QGC122" s="69"/>
      <c r="QGD122" s="69"/>
      <c r="QGE122" s="69"/>
      <c r="QGF122" s="69"/>
      <c r="QGG122" s="69"/>
      <c r="QGH122" s="69"/>
      <c r="QGI122" s="69"/>
      <c r="QGJ122" s="69"/>
      <c r="QGK122" s="69"/>
      <c r="QGL122" s="69"/>
      <c r="QGM122" s="69"/>
      <c r="QGN122" s="69"/>
      <c r="QGO122" s="69"/>
      <c r="QGP122" s="69"/>
      <c r="QGQ122" s="69"/>
      <c r="QGR122" s="69"/>
      <c r="QGS122" s="69"/>
      <c r="QGT122" s="69"/>
      <c r="QGU122" s="69"/>
      <c r="QGV122" s="69"/>
      <c r="QGW122" s="69"/>
      <c r="QGX122" s="69"/>
      <c r="QGY122" s="69"/>
      <c r="QGZ122" s="69"/>
      <c r="QHA122" s="69"/>
      <c r="QHB122" s="69"/>
      <c r="QHC122" s="69"/>
      <c r="QHD122" s="69"/>
      <c r="QHE122" s="69"/>
      <c r="QHF122" s="69"/>
      <c r="QHG122" s="69"/>
      <c r="QHH122" s="69"/>
      <c r="QHI122" s="69"/>
      <c r="QHJ122" s="69"/>
      <c r="QHK122" s="69"/>
      <c r="QHL122" s="69"/>
      <c r="QHM122" s="69"/>
      <c r="QHN122" s="69"/>
      <c r="QHO122" s="69"/>
      <c r="QHP122" s="69"/>
      <c r="QHQ122" s="69"/>
      <c r="QHR122" s="69"/>
      <c r="QHS122" s="69"/>
      <c r="QHT122" s="69"/>
      <c r="QHU122" s="69"/>
      <c r="QHV122" s="69"/>
      <c r="QHW122" s="69"/>
      <c r="QHX122" s="69"/>
      <c r="QHY122" s="69"/>
      <c r="QHZ122" s="69"/>
      <c r="QIA122" s="69"/>
      <c r="QIB122" s="69"/>
      <c r="QIC122" s="69"/>
      <c r="QID122" s="69"/>
      <c r="QIE122" s="69"/>
      <c r="QIF122" s="69"/>
      <c r="QIG122" s="69"/>
      <c r="QIH122" s="69"/>
      <c r="QII122" s="69"/>
      <c r="QIJ122" s="69"/>
      <c r="QIK122" s="69"/>
      <c r="QIL122" s="69"/>
      <c r="QIM122" s="69"/>
      <c r="QIN122" s="69"/>
      <c r="QIO122" s="69"/>
      <c r="QIP122" s="69"/>
      <c r="QIQ122" s="69"/>
      <c r="QIR122" s="69"/>
      <c r="QIS122" s="69"/>
      <c r="QIT122" s="69"/>
      <c r="QIU122" s="69"/>
      <c r="QIV122" s="69"/>
      <c r="QIW122" s="69"/>
      <c r="QIX122" s="69"/>
      <c r="QIY122" s="69"/>
      <c r="QIZ122" s="69"/>
      <c r="QJA122" s="69"/>
      <c r="QJB122" s="69"/>
      <c r="QJC122" s="69"/>
      <c r="QJD122" s="69"/>
      <c r="QJE122" s="69"/>
      <c r="QJF122" s="69"/>
      <c r="QJG122" s="69"/>
      <c r="QJH122" s="69"/>
      <c r="QJI122" s="69"/>
      <c r="QJJ122" s="69"/>
      <c r="QJK122" s="69"/>
      <c r="QJL122" s="69"/>
      <c r="QJM122" s="69"/>
      <c r="QJN122" s="69"/>
      <c r="QJO122" s="69"/>
      <c r="QJP122" s="69"/>
      <c r="QJQ122" s="69"/>
      <c r="QJR122" s="69"/>
      <c r="QJS122" s="69"/>
      <c r="QJT122" s="69"/>
      <c r="QJU122" s="69"/>
      <c r="QJV122" s="69"/>
      <c r="QJW122" s="69"/>
      <c r="QJX122" s="69"/>
      <c r="QJY122" s="69"/>
      <c r="QJZ122" s="69"/>
      <c r="QKA122" s="69"/>
      <c r="QKB122" s="69"/>
      <c r="QKC122" s="69"/>
      <c r="QKD122" s="69"/>
      <c r="QKE122" s="69"/>
      <c r="QKF122" s="69"/>
      <c r="QKG122" s="69"/>
      <c r="QKH122" s="69"/>
      <c r="QKI122" s="69"/>
      <c r="QKJ122" s="69"/>
      <c r="QKK122" s="69"/>
      <c r="QKL122" s="69"/>
      <c r="QKM122" s="69"/>
      <c r="QKN122" s="69"/>
      <c r="QKO122" s="69"/>
      <c r="QKP122" s="69"/>
      <c r="QKQ122" s="69"/>
      <c r="QKR122" s="69"/>
      <c r="QKS122" s="69"/>
      <c r="QKT122" s="69"/>
      <c r="QKU122" s="69"/>
      <c r="QKV122" s="69"/>
      <c r="QKW122" s="69"/>
      <c r="QKX122" s="69"/>
      <c r="QKY122" s="69"/>
      <c r="QKZ122" s="69"/>
      <c r="QLA122" s="69"/>
      <c r="QLB122" s="69"/>
      <c r="QLC122" s="69"/>
      <c r="QLD122" s="69"/>
      <c r="QLE122" s="69"/>
      <c r="QLF122" s="69"/>
      <c r="QLG122" s="69"/>
      <c r="QLH122" s="69"/>
      <c r="QLI122" s="69"/>
      <c r="QLJ122" s="69"/>
      <c r="QLK122" s="69"/>
      <c r="QLL122" s="69"/>
      <c r="QLM122" s="69"/>
      <c r="QLN122" s="69"/>
      <c r="QLO122" s="69"/>
      <c r="QLP122" s="69"/>
      <c r="QLQ122" s="69"/>
      <c r="QLR122" s="69"/>
      <c r="QLS122" s="69"/>
      <c r="QLT122" s="69"/>
      <c r="QLU122" s="69"/>
      <c r="QLV122" s="69"/>
      <c r="QLW122" s="69"/>
      <c r="QLX122" s="69"/>
      <c r="QLY122" s="69"/>
      <c r="QLZ122" s="69"/>
      <c r="QMA122" s="69"/>
      <c r="QMB122" s="69"/>
      <c r="QMC122" s="69"/>
      <c r="QMD122" s="69"/>
      <c r="QME122" s="69"/>
      <c r="QMF122" s="69"/>
      <c r="QMG122" s="69"/>
      <c r="QMH122" s="69"/>
      <c r="QMI122" s="69"/>
      <c r="QMJ122" s="69"/>
      <c r="QMK122" s="69"/>
      <c r="QML122" s="69"/>
      <c r="QMM122" s="69"/>
      <c r="QMN122" s="69"/>
      <c r="QMO122" s="69"/>
      <c r="QMP122" s="69"/>
      <c r="QMQ122" s="69"/>
      <c r="QMR122" s="69"/>
      <c r="QMS122" s="69"/>
      <c r="QMT122" s="69"/>
      <c r="QMU122" s="69"/>
      <c r="QMV122" s="69"/>
      <c r="QMW122" s="69"/>
      <c r="QMX122" s="69"/>
      <c r="QMY122" s="69"/>
      <c r="QMZ122" s="69"/>
      <c r="QNA122" s="69"/>
      <c r="QNB122" s="69"/>
      <c r="QNC122" s="69"/>
      <c r="QND122" s="69"/>
      <c r="QNE122" s="69"/>
      <c r="QNF122" s="69"/>
      <c r="QNG122" s="69"/>
      <c r="QNH122" s="69"/>
      <c r="QNI122" s="69"/>
      <c r="QNJ122" s="69"/>
      <c r="QNK122" s="69"/>
      <c r="QNL122" s="69"/>
      <c r="QNM122" s="69"/>
      <c r="QNN122" s="69"/>
      <c r="QNO122" s="69"/>
      <c r="QNP122" s="69"/>
      <c r="QNQ122" s="69"/>
      <c r="QNR122" s="69"/>
      <c r="QNS122" s="69"/>
      <c r="QNT122" s="69"/>
      <c r="QNU122" s="69"/>
      <c r="QNV122" s="69"/>
      <c r="QNW122" s="69"/>
      <c r="QNX122" s="69"/>
      <c r="QNY122" s="69"/>
      <c r="QNZ122" s="69"/>
      <c r="QOA122" s="69"/>
      <c r="QOB122" s="69"/>
      <c r="QOC122" s="69"/>
      <c r="QOD122" s="69"/>
      <c r="QOE122" s="69"/>
      <c r="QOF122" s="69"/>
      <c r="QOG122" s="69"/>
      <c r="QOH122" s="69"/>
      <c r="QOI122" s="69"/>
      <c r="QOJ122" s="69"/>
      <c r="QOK122" s="69"/>
      <c r="QOL122" s="69"/>
      <c r="QOM122" s="69"/>
      <c r="QON122" s="69"/>
      <c r="QOO122" s="69"/>
      <c r="QOP122" s="69"/>
      <c r="QOQ122" s="69"/>
      <c r="QOR122" s="69"/>
      <c r="QOS122" s="69"/>
      <c r="QOT122" s="69"/>
      <c r="QOU122" s="69"/>
      <c r="QOV122" s="69"/>
      <c r="QOW122" s="69"/>
      <c r="QOX122" s="69"/>
      <c r="QOY122" s="69"/>
      <c r="QOZ122" s="69"/>
      <c r="QPA122" s="69"/>
      <c r="QPB122" s="69"/>
      <c r="QPC122" s="69"/>
      <c r="QPD122" s="69"/>
      <c r="QPE122" s="69"/>
      <c r="QPF122" s="69"/>
      <c r="QPG122" s="69"/>
      <c r="QPH122" s="69"/>
      <c r="QPI122" s="69"/>
      <c r="QPJ122" s="69"/>
      <c r="QPK122" s="69"/>
      <c r="QPL122" s="69"/>
      <c r="QPM122" s="69"/>
      <c r="QPN122" s="69"/>
      <c r="QPO122" s="69"/>
      <c r="QPP122" s="69"/>
      <c r="QPQ122" s="69"/>
      <c r="QPR122" s="69"/>
      <c r="QPS122" s="69"/>
      <c r="QPT122" s="69"/>
      <c r="QPU122" s="69"/>
      <c r="QPV122" s="69"/>
      <c r="QPW122" s="69"/>
      <c r="QPX122" s="69"/>
      <c r="QPY122" s="69"/>
      <c r="QPZ122" s="69"/>
      <c r="QQA122" s="69"/>
      <c r="QQB122" s="69"/>
      <c r="QQC122" s="69"/>
      <c r="QQD122" s="69"/>
      <c r="QQE122" s="69"/>
      <c r="QQF122" s="69"/>
      <c r="QQG122" s="69"/>
      <c r="QQH122" s="69"/>
      <c r="QQI122" s="69"/>
      <c r="QQJ122" s="69"/>
      <c r="QQK122" s="69"/>
      <c r="QQL122" s="69"/>
      <c r="QQM122" s="69"/>
      <c r="QQN122" s="69"/>
      <c r="QQO122" s="69"/>
      <c r="QQP122" s="69"/>
      <c r="QQQ122" s="69"/>
      <c r="QQR122" s="69"/>
      <c r="QQS122" s="69"/>
      <c r="QQT122" s="69"/>
      <c r="QQU122" s="69"/>
      <c r="QQV122" s="69"/>
      <c r="QQW122" s="69"/>
      <c r="QQX122" s="69"/>
      <c r="QQY122" s="69"/>
      <c r="QQZ122" s="69"/>
      <c r="QRA122" s="69"/>
      <c r="QRB122" s="69"/>
      <c r="QRC122" s="69"/>
      <c r="QRD122" s="69"/>
      <c r="QRE122" s="69"/>
      <c r="QRF122" s="69"/>
      <c r="QRG122" s="69"/>
      <c r="QRH122" s="69"/>
      <c r="QRI122" s="69"/>
      <c r="QRJ122" s="69"/>
      <c r="QRK122" s="69"/>
      <c r="QRL122" s="69"/>
      <c r="QRM122" s="69"/>
      <c r="QRN122" s="69"/>
      <c r="QRO122" s="69"/>
      <c r="QRP122" s="69"/>
      <c r="QRQ122" s="69"/>
      <c r="QRR122" s="69"/>
      <c r="QRS122" s="69"/>
      <c r="QRT122" s="69"/>
      <c r="QRU122" s="69"/>
      <c r="QRV122" s="69"/>
      <c r="QRW122" s="69"/>
      <c r="QRX122" s="69"/>
      <c r="QRY122" s="69"/>
      <c r="QRZ122" s="69"/>
      <c r="QSA122" s="69"/>
      <c r="QSB122" s="69"/>
      <c r="QSC122" s="69"/>
      <c r="QSD122" s="69"/>
      <c r="QSE122" s="69"/>
      <c r="QSF122" s="69"/>
      <c r="QSG122" s="69"/>
      <c r="QSH122" s="69"/>
      <c r="QSI122" s="69"/>
      <c r="QSJ122" s="69"/>
      <c r="QSK122" s="69"/>
      <c r="QSL122" s="69"/>
      <c r="QSM122" s="69"/>
      <c r="QSN122" s="69"/>
      <c r="QSO122" s="69"/>
      <c r="QSP122" s="69"/>
      <c r="QSQ122" s="69"/>
      <c r="QSR122" s="69"/>
      <c r="QSS122" s="69"/>
      <c r="QST122" s="69"/>
      <c r="QSU122" s="69"/>
      <c r="QSV122" s="69"/>
      <c r="QSW122" s="69"/>
      <c r="QSX122" s="69"/>
      <c r="QSY122" s="69"/>
      <c r="QSZ122" s="69"/>
      <c r="QTA122" s="69"/>
      <c r="QTB122" s="69"/>
      <c r="QTC122" s="69"/>
      <c r="QTD122" s="69"/>
      <c r="QTE122" s="69"/>
      <c r="QTF122" s="69"/>
      <c r="QTG122" s="69"/>
      <c r="QTH122" s="69"/>
      <c r="QTI122" s="69"/>
      <c r="QTJ122" s="69"/>
      <c r="QTK122" s="69"/>
      <c r="QTL122" s="69"/>
      <c r="QTM122" s="69"/>
      <c r="QTN122" s="69"/>
      <c r="QTO122" s="69"/>
      <c r="QTP122" s="69"/>
      <c r="QTQ122" s="69"/>
      <c r="QTR122" s="69"/>
      <c r="QTS122" s="69"/>
      <c r="QTT122" s="69"/>
      <c r="QTU122" s="69"/>
      <c r="QTV122" s="69"/>
      <c r="QTW122" s="69"/>
      <c r="QTX122" s="69"/>
      <c r="QTY122" s="69"/>
      <c r="QTZ122" s="69"/>
      <c r="QUA122" s="69"/>
      <c r="QUB122" s="69"/>
      <c r="QUC122" s="69"/>
      <c r="QUD122" s="69"/>
      <c r="QUE122" s="69"/>
      <c r="QUF122" s="69"/>
      <c r="QUG122" s="69"/>
      <c r="QUH122" s="69"/>
      <c r="QUI122" s="69"/>
      <c r="QUJ122" s="69"/>
      <c r="QUK122" s="69"/>
      <c r="QUL122" s="69"/>
      <c r="QUM122" s="69"/>
      <c r="QUN122" s="69"/>
      <c r="QUO122" s="69"/>
      <c r="QUP122" s="69"/>
      <c r="QUQ122" s="69"/>
      <c r="QUR122" s="69"/>
      <c r="QUS122" s="69"/>
      <c r="QUT122" s="69"/>
      <c r="QUU122" s="69"/>
      <c r="QUV122" s="69"/>
      <c r="QUW122" s="69"/>
      <c r="QUX122" s="69"/>
      <c r="QUY122" s="69"/>
      <c r="QUZ122" s="69"/>
      <c r="QVA122" s="69"/>
      <c r="QVB122" s="69"/>
      <c r="QVC122" s="69"/>
      <c r="QVD122" s="69"/>
      <c r="QVE122" s="69"/>
      <c r="QVF122" s="69"/>
      <c r="QVG122" s="69"/>
      <c r="QVH122" s="69"/>
      <c r="QVI122" s="69"/>
      <c r="QVJ122" s="69"/>
      <c r="QVK122" s="69"/>
      <c r="QVL122" s="69"/>
      <c r="QVM122" s="69"/>
      <c r="QVN122" s="69"/>
      <c r="QVO122" s="69"/>
      <c r="QVP122" s="69"/>
      <c r="QVQ122" s="69"/>
      <c r="QVR122" s="69"/>
      <c r="QVS122" s="69"/>
      <c r="QVT122" s="69"/>
      <c r="QVU122" s="69"/>
      <c r="QVV122" s="69"/>
      <c r="QVW122" s="69"/>
      <c r="QVX122" s="69"/>
      <c r="QVY122" s="69"/>
      <c r="QVZ122" s="69"/>
      <c r="QWA122" s="69"/>
      <c r="QWB122" s="69"/>
      <c r="QWC122" s="69"/>
      <c r="QWD122" s="69"/>
      <c r="QWE122" s="69"/>
      <c r="QWF122" s="69"/>
      <c r="QWG122" s="69"/>
      <c r="QWH122" s="69"/>
      <c r="QWI122" s="69"/>
      <c r="QWJ122" s="69"/>
      <c r="QWK122" s="69"/>
      <c r="QWL122" s="69"/>
      <c r="QWM122" s="69"/>
      <c r="QWN122" s="69"/>
      <c r="QWO122" s="69"/>
      <c r="QWP122" s="69"/>
      <c r="QWQ122" s="69"/>
      <c r="QWR122" s="69"/>
      <c r="QWS122" s="69"/>
      <c r="QWT122" s="69"/>
      <c r="QWU122" s="69"/>
      <c r="QWV122" s="69"/>
      <c r="QWW122" s="69"/>
      <c r="QWX122" s="69"/>
      <c r="QWY122" s="69"/>
      <c r="QWZ122" s="69"/>
      <c r="QXA122" s="69"/>
      <c r="QXB122" s="69"/>
      <c r="QXC122" s="69"/>
      <c r="QXD122" s="69"/>
      <c r="QXE122" s="69"/>
      <c r="QXF122" s="69"/>
      <c r="QXG122" s="69"/>
      <c r="QXH122" s="69"/>
      <c r="QXI122" s="69"/>
      <c r="QXJ122" s="69"/>
      <c r="QXK122" s="69"/>
      <c r="QXL122" s="69"/>
      <c r="QXM122" s="69"/>
      <c r="QXN122" s="69"/>
      <c r="QXO122" s="69"/>
      <c r="QXP122" s="69"/>
      <c r="QXQ122" s="69"/>
      <c r="QXR122" s="69"/>
      <c r="QXS122" s="69"/>
      <c r="QXT122" s="69"/>
      <c r="QXU122" s="69"/>
      <c r="QXV122" s="69"/>
      <c r="QXW122" s="69"/>
      <c r="QXX122" s="69"/>
      <c r="QXY122" s="69"/>
      <c r="QXZ122" s="69"/>
      <c r="QYA122" s="69"/>
      <c r="QYB122" s="69"/>
      <c r="QYC122" s="69"/>
      <c r="QYD122" s="69"/>
      <c r="QYE122" s="69"/>
      <c r="QYF122" s="69"/>
      <c r="QYG122" s="69"/>
      <c r="QYH122" s="69"/>
      <c r="QYI122" s="69"/>
      <c r="QYJ122" s="69"/>
      <c r="QYK122" s="69"/>
      <c r="QYL122" s="69"/>
      <c r="QYM122" s="69"/>
      <c r="QYN122" s="69"/>
      <c r="QYO122" s="69"/>
      <c r="QYP122" s="69"/>
      <c r="QYQ122" s="69"/>
      <c r="QYR122" s="69"/>
      <c r="QYS122" s="69"/>
      <c r="QYT122" s="69"/>
      <c r="QYU122" s="69"/>
      <c r="QYV122" s="69"/>
      <c r="QYW122" s="69"/>
      <c r="QYX122" s="69"/>
      <c r="QYY122" s="69"/>
      <c r="QYZ122" s="69"/>
      <c r="QZA122" s="69"/>
      <c r="QZB122" s="69"/>
      <c r="QZC122" s="69"/>
      <c r="QZD122" s="69"/>
      <c r="QZE122" s="69"/>
      <c r="QZF122" s="69"/>
      <c r="QZG122" s="69"/>
      <c r="QZH122" s="69"/>
      <c r="QZI122" s="69"/>
      <c r="QZJ122" s="69"/>
      <c r="QZK122" s="69"/>
      <c r="QZL122" s="69"/>
      <c r="QZM122" s="69"/>
      <c r="QZN122" s="69"/>
      <c r="QZO122" s="69"/>
      <c r="QZP122" s="69"/>
      <c r="QZQ122" s="69"/>
      <c r="QZR122" s="69"/>
      <c r="QZS122" s="69"/>
      <c r="QZT122" s="69"/>
      <c r="QZU122" s="69"/>
      <c r="QZV122" s="69"/>
      <c r="QZW122" s="69"/>
      <c r="QZX122" s="69"/>
      <c r="QZY122" s="69"/>
      <c r="QZZ122" s="69"/>
      <c r="RAA122" s="69"/>
      <c r="RAB122" s="69"/>
      <c r="RAC122" s="69"/>
      <c r="RAD122" s="69"/>
      <c r="RAE122" s="69"/>
      <c r="RAF122" s="69"/>
      <c r="RAG122" s="69"/>
      <c r="RAH122" s="69"/>
      <c r="RAI122" s="69"/>
      <c r="RAJ122" s="69"/>
      <c r="RAK122" s="69"/>
      <c r="RAL122" s="69"/>
      <c r="RAM122" s="69"/>
      <c r="RAN122" s="69"/>
      <c r="RAO122" s="69"/>
      <c r="RAP122" s="69"/>
      <c r="RAQ122" s="69"/>
      <c r="RAR122" s="69"/>
      <c r="RAS122" s="69"/>
      <c r="RAT122" s="69"/>
      <c r="RAU122" s="69"/>
      <c r="RAV122" s="69"/>
      <c r="RAW122" s="69"/>
      <c r="RAX122" s="69"/>
      <c r="RAY122" s="69"/>
      <c r="RAZ122" s="69"/>
      <c r="RBA122" s="69"/>
      <c r="RBB122" s="69"/>
      <c r="RBC122" s="69"/>
      <c r="RBD122" s="69"/>
      <c r="RBE122" s="69"/>
      <c r="RBF122" s="69"/>
      <c r="RBG122" s="69"/>
      <c r="RBH122" s="69"/>
      <c r="RBI122" s="69"/>
      <c r="RBJ122" s="69"/>
      <c r="RBK122" s="69"/>
      <c r="RBL122" s="69"/>
      <c r="RBM122" s="69"/>
      <c r="RBN122" s="69"/>
      <c r="RBO122" s="69"/>
      <c r="RBP122" s="69"/>
      <c r="RBQ122" s="69"/>
      <c r="RBR122" s="69"/>
      <c r="RBS122" s="69"/>
      <c r="RBT122" s="69"/>
      <c r="RBU122" s="69"/>
      <c r="RBV122" s="69"/>
      <c r="RBW122" s="69"/>
      <c r="RBX122" s="69"/>
      <c r="RBY122" s="69"/>
      <c r="RBZ122" s="69"/>
      <c r="RCA122" s="69"/>
      <c r="RCB122" s="69"/>
      <c r="RCC122" s="69"/>
      <c r="RCD122" s="69"/>
      <c r="RCE122" s="69"/>
      <c r="RCF122" s="69"/>
      <c r="RCG122" s="69"/>
      <c r="RCH122" s="69"/>
      <c r="RCI122" s="69"/>
      <c r="RCJ122" s="69"/>
      <c r="RCK122" s="69"/>
      <c r="RCL122" s="69"/>
      <c r="RCM122" s="69"/>
      <c r="RCN122" s="69"/>
      <c r="RCO122" s="69"/>
      <c r="RCP122" s="69"/>
      <c r="RCQ122" s="69"/>
      <c r="RCR122" s="69"/>
      <c r="RCS122" s="69"/>
      <c r="RCT122" s="69"/>
      <c r="RCU122" s="69"/>
      <c r="RCV122" s="69"/>
      <c r="RCW122" s="69"/>
      <c r="RCX122" s="69"/>
      <c r="RCY122" s="69"/>
      <c r="RCZ122" s="69"/>
      <c r="RDA122" s="69"/>
      <c r="RDB122" s="69"/>
      <c r="RDC122" s="69"/>
      <c r="RDD122" s="69"/>
      <c r="RDE122" s="69"/>
      <c r="RDF122" s="69"/>
      <c r="RDG122" s="69"/>
      <c r="RDH122" s="69"/>
      <c r="RDI122" s="69"/>
      <c r="RDJ122" s="69"/>
      <c r="RDK122" s="69"/>
      <c r="RDL122" s="69"/>
      <c r="RDM122" s="69"/>
      <c r="RDN122" s="69"/>
      <c r="RDO122" s="69"/>
      <c r="RDP122" s="69"/>
      <c r="RDQ122" s="69"/>
      <c r="RDR122" s="69"/>
      <c r="RDS122" s="69"/>
      <c r="RDT122" s="69"/>
      <c r="RDU122" s="69"/>
      <c r="RDV122" s="69"/>
      <c r="RDW122" s="69"/>
      <c r="RDX122" s="69"/>
      <c r="RDY122" s="69"/>
      <c r="RDZ122" s="69"/>
      <c r="REA122" s="69"/>
      <c r="REB122" s="69"/>
      <c r="REC122" s="69"/>
      <c r="RED122" s="69"/>
      <c r="REE122" s="69"/>
      <c r="REF122" s="69"/>
      <c r="REG122" s="69"/>
      <c r="REH122" s="69"/>
      <c r="REI122" s="69"/>
      <c r="REJ122" s="69"/>
      <c r="REK122" s="69"/>
      <c r="REL122" s="69"/>
      <c r="REM122" s="69"/>
      <c r="REN122" s="69"/>
      <c r="REO122" s="69"/>
      <c r="REP122" s="69"/>
      <c r="REQ122" s="69"/>
      <c r="RER122" s="69"/>
      <c r="RES122" s="69"/>
      <c r="RET122" s="69"/>
      <c r="REU122" s="69"/>
      <c r="REV122" s="69"/>
      <c r="REW122" s="69"/>
      <c r="REX122" s="69"/>
      <c r="REY122" s="69"/>
      <c r="REZ122" s="69"/>
      <c r="RFA122" s="69"/>
      <c r="RFB122" s="69"/>
      <c r="RFC122" s="69"/>
      <c r="RFD122" s="69"/>
      <c r="RFE122" s="69"/>
      <c r="RFF122" s="69"/>
      <c r="RFG122" s="69"/>
      <c r="RFH122" s="69"/>
      <c r="RFI122" s="69"/>
      <c r="RFJ122" s="69"/>
      <c r="RFK122" s="69"/>
      <c r="RFL122" s="69"/>
      <c r="RFM122" s="69"/>
      <c r="RFN122" s="69"/>
      <c r="RFO122" s="69"/>
      <c r="RFP122" s="69"/>
      <c r="RFQ122" s="69"/>
      <c r="RFR122" s="69"/>
      <c r="RFS122" s="69"/>
      <c r="RFT122" s="69"/>
      <c r="RFU122" s="69"/>
      <c r="RFV122" s="69"/>
      <c r="RFW122" s="69"/>
      <c r="RFX122" s="69"/>
      <c r="RFY122" s="69"/>
      <c r="RFZ122" s="69"/>
      <c r="RGA122" s="69"/>
      <c r="RGB122" s="69"/>
      <c r="RGC122" s="69"/>
      <c r="RGD122" s="69"/>
      <c r="RGE122" s="69"/>
      <c r="RGF122" s="69"/>
      <c r="RGG122" s="69"/>
      <c r="RGH122" s="69"/>
      <c r="RGI122" s="69"/>
      <c r="RGJ122" s="69"/>
      <c r="RGK122" s="69"/>
      <c r="RGL122" s="69"/>
      <c r="RGM122" s="69"/>
      <c r="RGN122" s="69"/>
      <c r="RGO122" s="69"/>
      <c r="RGP122" s="69"/>
      <c r="RGQ122" s="69"/>
      <c r="RGR122" s="69"/>
      <c r="RGS122" s="69"/>
      <c r="RGT122" s="69"/>
      <c r="RGU122" s="69"/>
      <c r="RGV122" s="69"/>
      <c r="RGW122" s="69"/>
      <c r="RGX122" s="69"/>
      <c r="RGY122" s="69"/>
      <c r="RGZ122" s="69"/>
      <c r="RHA122" s="69"/>
      <c r="RHB122" s="69"/>
      <c r="RHC122" s="69"/>
      <c r="RHD122" s="69"/>
      <c r="RHE122" s="69"/>
      <c r="RHF122" s="69"/>
      <c r="RHG122" s="69"/>
      <c r="RHH122" s="69"/>
      <c r="RHI122" s="69"/>
      <c r="RHJ122" s="69"/>
      <c r="RHK122" s="69"/>
      <c r="RHL122" s="69"/>
      <c r="RHM122" s="69"/>
      <c r="RHN122" s="69"/>
      <c r="RHO122" s="69"/>
      <c r="RHP122" s="69"/>
      <c r="RHQ122" s="69"/>
      <c r="RHR122" s="69"/>
      <c r="RHS122" s="69"/>
      <c r="RHT122" s="69"/>
      <c r="RHU122" s="69"/>
      <c r="RHV122" s="69"/>
      <c r="RHW122" s="69"/>
      <c r="RHX122" s="69"/>
      <c r="RHY122" s="69"/>
      <c r="RHZ122" s="69"/>
      <c r="RIA122" s="69"/>
      <c r="RIB122" s="69"/>
      <c r="RIC122" s="69"/>
      <c r="RID122" s="69"/>
      <c r="RIE122" s="69"/>
      <c r="RIF122" s="69"/>
      <c r="RIG122" s="69"/>
      <c r="RIH122" s="69"/>
      <c r="RII122" s="69"/>
      <c r="RIJ122" s="69"/>
      <c r="RIK122" s="69"/>
      <c r="RIL122" s="69"/>
      <c r="RIM122" s="69"/>
      <c r="RIN122" s="69"/>
      <c r="RIO122" s="69"/>
      <c r="RIP122" s="69"/>
      <c r="RIQ122" s="69"/>
      <c r="RIR122" s="69"/>
      <c r="RIS122" s="69"/>
      <c r="RIT122" s="69"/>
      <c r="RIU122" s="69"/>
      <c r="RIV122" s="69"/>
      <c r="RIW122" s="69"/>
      <c r="RIX122" s="69"/>
      <c r="RIY122" s="69"/>
      <c r="RIZ122" s="69"/>
      <c r="RJA122" s="69"/>
      <c r="RJB122" s="69"/>
      <c r="RJC122" s="69"/>
      <c r="RJD122" s="69"/>
      <c r="RJE122" s="69"/>
      <c r="RJF122" s="69"/>
      <c r="RJG122" s="69"/>
      <c r="RJH122" s="69"/>
      <c r="RJI122" s="69"/>
      <c r="RJJ122" s="69"/>
      <c r="RJK122" s="69"/>
      <c r="RJL122" s="69"/>
      <c r="RJM122" s="69"/>
      <c r="RJN122" s="69"/>
      <c r="RJO122" s="69"/>
      <c r="RJP122" s="69"/>
      <c r="RJQ122" s="69"/>
      <c r="RJR122" s="69"/>
      <c r="RJS122" s="69"/>
      <c r="RJT122" s="69"/>
      <c r="RJU122" s="69"/>
      <c r="RJV122" s="69"/>
      <c r="RJW122" s="69"/>
      <c r="RJX122" s="69"/>
      <c r="RJY122" s="69"/>
      <c r="RJZ122" s="69"/>
      <c r="RKA122" s="69"/>
      <c r="RKB122" s="69"/>
      <c r="RKC122" s="69"/>
      <c r="RKD122" s="69"/>
      <c r="RKE122" s="69"/>
      <c r="RKF122" s="69"/>
      <c r="RKG122" s="69"/>
      <c r="RKH122" s="69"/>
      <c r="RKI122" s="69"/>
      <c r="RKJ122" s="69"/>
      <c r="RKK122" s="69"/>
      <c r="RKL122" s="69"/>
      <c r="RKM122" s="69"/>
      <c r="RKN122" s="69"/>
      <c r="RKO122" s="69"/>
      <c r="RKP122" s="69"/>
      <c r="RKQ122" s="69"/>
      <c r="RKR122" s="69"/>
      <c r="RKS122" s="69"/>
      <c r="RKT122" s="69"/>
      <c r="RKU122" s="69"/>
      <c r="RKV122" s="69"/>
      <c r="RKW122" s="69"/>
      <c r="RKX122" s="69"/>
      <c r="RKY122" s="69"/>
      <c r="RKZ122" s="69"/>
      <c r="RLA122" s="69"/>
      <c r="RLB122" s="69"/>
      <c r="RLC122" s="69"/>
      <c r="RLD122" s="69"/>
      <c r="RLE122" s="69"/>
      <c r="RLF122" s="69"/>
      <c r="RLG122" s="69"/>
      <c r="RLH122" s="69"/>
      <c r="RLI122" s="69"/>
      <c r="RLJ122" s="69"/>
      <c r="RLK122" s="69"/>
      <c r="RLL122" s="69"/>
      <c r="RLM122" s="69"/>
      <c r="RLN122" s="69"/>
      <c r="RLO122" s="69"/>
      <c r="RLP122" s="69"/>
      <c r="RLQ122" s="69"/>
      <c r="RLR122" s="69"/>
      <c r="RLS122" s="69"/>
      <c r="RLT122" s="69"/>
      <c r="RLU122" s="69"/>
      <c r="RLV122" s="69"/>
      <c r="RLW122" s="69"/>
      <c r="RLX122" s="69"/>
      <c r="RLY122" s="69"/>
      <c r="RLZ122" s="69"/>
      <c r="RMA122" s="69"/>
      <c r="RMB122" s="69"/>
      <c r="RMC122" s="69"/>
      <c r="RMD122" s="69"/>
      <c r="RME122" s="69"/>
      <c r="RMF122" s="69"/>
      <c r="RMG122" s="69"/>
      <c r="RMH122" s="69"/>
      <c r="RMI122" s="69"/>
      <c r="RMJ122" s="69"/>
      <c r="RMK122" s="69"/>
      <c r="RML122" s="69"/>
      <c r="RMM122" s="69"/>
      <c r="RMN122" s="69"/>
      <c r="RMO122" s="69"/>
      <c r="RMP122" s="69"/>
      <c r="RMQ122" s="69"/>
      <c r="RMR122" s="69"/>
      <c r="RMS122" s="69"/>
      <c r="RMT122" s="69"/>
      <c r="RMU122" s="69"/>
      <c r="RMV122" s="69"/>
      <c r="RMW122" s="69"/>
      <c r="RMX122" s="69"/>
      <c r="RMY122" s="69"/>
      <c r="RMZ122" s="69"/>
      <c r="RNA122" s="69"/>
      <c r="RNB122" s="69"/>
      <c r="RNC122" s="69"/>
      <c r="RND122" s="69"/>
      <c r="RNE122" s="69"/>
      <c r="RNF122" s="69"/>
      <c r="RNG122" s="69"/>
      <c r="RNH122" s="69"/>
      <c r="RNI122" s="69"/>
      <c r="RNJ122" s="69"/>
      <c r="RNK122" s="69"/>
      <c r="RNL122" s="69"/>
      <c r="RNM122" s="69"/>
      <c r="RNN122" s="69"/>
      <c r="RNO122" s="69"/>
      <c r="RNP122" s="69"/>
      <c r="RNQ122" s="69"/>
      <c r="RNR122" s="69"/>
      <c r="RNS122" s="69"/>
      <c r="RNT122" s="69"/>
      <c r="RNU122" s="69"/>
      <c r="RNV122" s="69"/>
      <c r="RNW122" s="69"/>
      <c r="RNX122" s="69"/>
      <c r="RNY122" s="69"/>
      <c r="RNZ122" s="69"/>
      <c r="ROA122" s="69"/>
      <c r="ROB122" s="69"/>
      <c r="ROC122" s="69"/>
      <c r="ROD122" s="69"/>
      <c r="ROE122" s="69"/>
      <c r="ROF122" s="69"/>
      <c r="ROG122" s="69"/>
      <c r="ROH122" s="69"/>
      <c r="ROI122" s="69"/>
      <c r="ROJ122" s="69"/>
      <c r="ROK122" s="69"/>
      <c r="ROL122" s="69"/>
      <c r="ROM122" s="69"/>
      <c r="RON122" s="69"/>
      <c r="ROO122" s="69"/>
      <c r="ROP122" s="69"/>
      <c r="ROQ122" s="69"/>
      <c r="ROR122" s="69"/>
      <c r="ROS122" s="69"/>
      <c r="ROT122" s="69"/>
      <c r="ROU122" s="69"/>
      <c r="ROV122" s="69"/>
      <c r="ROW122" s="69"/>
      <c r="ROX122" s="69"/>
      <c r="ROY122" s="69"/>
      <c r="ROZ122" s="69"/>
      <c r="RPA122" s="69"/>
      <c r="RPB122" s="69"/>
      <c r="RPC122" s="69"/>
      <c r="RPD122" s="69"/>
      <c r="RPE122" s="69"/>
      <c r="RPF122" s="69"/>
      <c r="RPG122" s="69"/>
      <c r="RPH122" s="69"/>
      <c r="RPI122" s="69"/>
      <c r="RPJ122" s="69"/>
      <c r="RPK122" s="69"/>
      <c r="RPL122" s="69"/>
      <c r="RPM122" s="69"/>
      <c r="RPN122" s="69"/>
      <c r="RPO122" s="69"/>
      <c r="RPP122" s="69"/>
      <c r="RPQ122" s="69"/>
      <c r="RPR122" s="69"/>
      <c r="RPS122" s="69"/>
      <c r="RPT122" s="69"/>
      <c r="RPU122" s="69"/>
      <c r="RPV122" s="69"/>
      <c r="RPW122" s="69"/>
      <c r="RPX122" s="69"/>
      <c r="RPY122" s="69"/>
      <c r="RPZ122" s="69"/>
      <c r="RQA122" s="69"/>
      <c r="RQB122" s="69"/>
      <c r="RQC122" s="69"/>
      <c r="RQD122" s="69"/>
      <c r="RQE122" s="69"/>
      <c r="RQF122" s="69"/>
      <c r="RQG122" s="69"/>
      <c r="RQH122" s="69"/>
      <c r="RQI122" s="69"/>
      <c r="RQJ122" s="69"/>
      <c r="RQK122" s="69"/>
      <c r="RQL122" s="69"/>
      <c r="RQM122" s="69"/>
      <c r="RQN122" s="69"/>
      <c r="RQO122" s="69"/>
      <c r="RQP122" s="69"/>
      <c r="RQQ122" s="69"/>
      <c r="RQR122" s="69"/>
      <c r="RQS122" s="69"/>
      <c r="RQT122" s="69"/>
      <c r="RQU122" s="69"/>
      <c r="RQV122" s="69"/>
      <c r="RQW122" s="69"/>
      <c r="RQX122" s="69"/>
      <c r="RQY122" s="69"/>
      <c r="RQZ122" s="69"/>
      <c r="RRA122" s="69"/>
      <c r="RRB122" s="69"/>
      <c r="RRC122" s="69"/>
      <c r="RRD122" s="69"/>
      <c r="RRE122" s="69"/>
      <c r="RRF122" s="69"/>
      <c r="RRG122" s="69"/>
      <c r="RRH122" s="69"/>
      <c r="RRI122" s="69"/>
      <c r="RRJ122" s="69"/>
      <c r="RRK122" s="69"/>
      <c r="RRL122" s="69"/>
      <c r="RRM122" s="69"/>
      <c r="RRN122" s="69"/>
      <c r="RRO122" s="69"/>
      <c r="RRP122" s="69"/>
      <c r="RRQ122" s="69"/>
      <c r="RRR122" s="69"/>
      <c r="RRS122" s="69"/>
      <c r="RRT122" s="69"/>
      <c r="RRU122" s="69"/>
      <c r="RRV122" s="69"/>
      <c r="RRW122" s="69"/>
      <c r="RRX122" s="69"/>
      <c r="RRY122" s="69"/>
      <c r="RRZ122" s="69"/>
      <c r="RSA122" s="69"/>
      <c r="RSB122" s="69"/>
      <c r="RSC122" s="69"/>
      <c r="RSD122" s="69"/>
      <c r="RSE122" s="69"/>
      <c r="RSF122" s="69"/>
      <c r="RSG122" s="69"/>
      <c r="RSH122" s="69"/>
      <c r="RSI122" s="69"/>
      <c r="RSJ122" s="69"/>
      <c r="RSK122" s="69"/>
      <c r="RSL122" s="69"/>
      <c r="RSM122" s="69"/>
      <c r="RSN122" s="69"/>
      <c r="RSO122" s="69"/>
      <c r="RSP122" s="69"/>
      <c r="RSQ122" s="69"/>
      <c r="RSR122" s="69"/>
      <c r="RSS122" s="69"/>
      <c r="RST122" s="69"/>
      <c r="RSU122" s="69"/>
      <c r="RSV122" s="69"/>
      <c r="RSW122" s="69"/>
      <c r="RSX122" s="69"/>
      <c r="RSY122" s="69"/>
      <c r="RSZ122" s="69"/>
      <c r="RTA122" s="69"/>
      <c r="RTB122" s="69"/>
      <c r="RTC122" s="69"/>
      <c r="RTD122" s="69"/>
      <c r="RTE122" s="69"/>
      <c r="RTF122" s="69"/>
      <c r="RTG122" s="69"/>
      <c r="RTH122" s="69"/>
      <c r="RTI122" s="69"/>
      <c r="RTJ122" s="69"/>
      <c r="RTK122" s="69"/>
      <c r="RTL122" s="69"/>
      <c r="RTM122" s="69"/>
      <c r="RTN122" s="69"/>
      <c r="RTO122" s="69"/>
      <c r="RTP122" s="69"/>
      <c r="RTQ122" s="69"/>
      <c r="RTR122" s="69"/>
      <c r="RTS122" s="69"/>
      <c r="RTT122" s="69"/>
      <c r="RTU122" s="69"/>
      <c r="RTV122" s="69"/>
      <c r="RTW122" s="69"/>
      <c r="RTX122" s="69"/>
      <c r="RTY122" s="69"/>
      <c r="RTZ122" s="69"/>
      <c r="RUA122" s="69"/>
      <c r="RUB122" s="69"/>
      <c r="RUC122" s="69"/>
      <c r="RUD122" s="69"/>
      <c r="RUE122" s="69"/>
      <c r="RUF122" s="69"/>
      <c r="RUG122" s="69"/>
      <c r="RUH122" s="69"/>
      <c r="RUI122" s="69"/>
      <c r="RUJ122" s="69"/>
      <c r="RUK122" s="69"/>
      <c r="RUL122" s="69"/>
      <c r="RUM122" s="69"/>
      <c r="RUN122" s="69"/>
      <c r="RUO122" s="69"/>
      <c r="RUP122" s="69"/>
      <c r="RUQ122" s="69"/>
      <c r="RUR122" s="69"/>
      <c r="RUS122" s="69"/>
      <c r="RUT122" s="69"/>
      <c r="RUU122" s="69"/>
      <c r="RUV122" s="69"/>
      <c r="RUW122" s="69"/>
      <c r="RUX122" s="69"/>
      <c r="RUY122" s="69"/>
      <c r="RUZ122" s="69"/>
      <c r="RVA122" s="69"/>
      <c r="RVB122" s="69"/>
      <c r="RVC122" s="69"/>
      <c r="RVD122" s="69"/>
      <c r="RVE122" s="69"/>
      <c r="RVF122" s="69"/>
      <c r="RVG122" s="69"/>
      <c r="RVH122" s="69"/>
      <c r="RVI122" s="69"/>
      <c r="RVJ122" s="69"/>
      <c r="RVK122" s="69"/>
      <c r="RVL122" s="69"/>
      <c r="RVM122" s="69"/>
      <c r="RVN122" s="69"/>
      <c r="RVO122" s="69"/>
      <c r="RVP122" s="69"/>
      <c r="RVQ122" s="69"/>
      <c r="RVR122" s="69"/>
      <c r="RVS122" s="69"/>
      <c r="RVT122" s="69"/>
      <c r="RVU122" s="69"/>
      <c r="RVV122" s="69"/>
      <c r="RVW122" s="69"/>
      <c r="RVX122" s="69"/>
      <c r="RVY122" s="69"/>
      <c r="RVZ122" s="69"/>
      <c r="RWA122" s="69"/>
      <c r="RWB122" s="69"/>
      <c r="RWC122" s="69"/>
      <c r="RWD122" s="69"/>
      <c r="RWE122" s="69"/>
      <c r="RWF122" s="69"/>
      <c r="RWG122" s="69"/>
      <c r="RWH122" s="69"/>
      <c r="RWI122" s="69"/>
      <c r="RWJ122" s="69"/>
      <c r="RWK122" s="69"/>
      <c r="RWL122" s="69"/>
      <c r="RWM122" s="69"/>
      <c r="RWN122" s="69"/>
      <c r="RWO122" s="69"/>
      <c r="RWP122" s="69"/>
      <c r="RWQ122" s="69"/>
      <c r="RWR122" s="69"/>
      <c r="RWS122" s="69"/>
      <c r="RWT122" s="69"/>
      <c r="RWU122" s="69"/>
      <c r="RWV122" s="69"/>
      <c r="RWW122" s="69"/>
      <c r="RWX122" s="69"/>
      <c r="RWY122" s="69"/>
      <c r="RWZ122" s="69"/>
      <c r="RXA122" s="69"/>
      <c r="RXB122" s="69"/>
      <c r="RXC122" s="69"/>
      <c r="RXD122" s="69"/>
      <c r="RXE122" s="69"/>
      <c r="RXF122" s="69"/>
      <c r="RXG122" s="69"/>
      <c r="RXH122" s="69"/>
      <c r="RXI122" s="69"/>
      <c r="RXJ122" s="69"/>
      <c r="RXK122" s="69"/>
      <c r="RXL122" s="69"/>
      <c r="RXM122" s="69"/>
      <c r="RXN122" s="69"/>
      <c r="RXO122" s="69"/>
      <c r="RXP122" s="69"/>
      <c r="RXQ122" s="69"/>
      <c r="RXR122" s="69"/>
      <c r="RXS122" s="69"/>
      <c r="RXT122" s="69"/>
      <c r="RXU122" s="69"/>
      <c r="RXV122" s="69"/>
      <c r="RXW122" s="69"/>
      <c r="RXX122" s="69"/>
      <c r="RXY122" s="69"/>
      <c r="RXZ122" s="69"/>
      <c r="RYA122" s="69"/>
      <c r="RYB122" s="69"/>
      <c r="RYC122" s="69"/>
      <c r="RYD122" s="69"/>
      <c r="RYE122" s="69"/>
      <c r="RYF122" s="69"/>
      <c r="RYG122" s="69"/>
      <c r="RYH122" s="69"/>
      <c r="RYI122" s="69"/>
      <c r="RYJ122" s="69"/>
      <c r="RYK122" s="69"/>
      <c r="RYL122" s="69"/>
      <c r="RYM122" s="69"/>
      <c r="RYN122" s="69"/>
      <c r="RYO122" s="69"/>
      <c r="RYP122" s="69"/>
      <c r="RYQ122" s="69"/>
      <c r="RYR122" s="69"/>
      <c r="RYS122" s="69"/>
      <c r="RYT122" s="69"/>
      <c r="RYU122" s="69"/>
      <c r="RYV122" s="69"/>
      <c r="RYW122" s="69"/>
      <c r="RYX122" s="69"/>
      <c r="RYY122" s="69"/>
      <c r="RYZ122" s="69"/>
      <c r="RZA122" s="69"/>
      <c r="RZB122" s="69"/>
      <c r="RZC122" s="69"/>
      <c r="RZD122" s="69"/>
      <c r="RZE122" s="69"/>
      <c r="RZF122" s="69"/>
      <c r="RZG122" s="69"/>
      <c r="RZH122" s="69"/>
      <c r="RZI122" s="69"/>
      <c r="RZJ122" s="69"/>
      <c r="RZK122" s="69"/>
      <c r="RZL122" s="69"/>
      <c r="RZM122" s="69"/>
      <c r="RZN122" s="69"/>
      <c r="RZO122" s="69"/>
      <c r="RZP122" s="69"/>
      <c r="RZQ122" s="69"/>
      <c r="RZR122" s="69"/>
      <c r="RZS122" s="69"/>
      <c r="RZT122" s="69"/>
      <c r="RZU122" s="69"/>
      <c r="RZV122" s="69"/>
      <c r="RZW122" s="69"/>
      <c r="RZX122" s="69"/>
      <c r="RZY122" s="69"/>
      <c r="RZZ122" s="69"/>
      <c r="SAA122" s="69"/>
      <c r="SAB122" s="69"/>
      <c r="SAC122" s="69"/>
      <c r="SAD122" s="69"/>
      <c r="SAE122" s="69"/>
      <c r="SAF122" s="69"/>
      <c r="SAG122" s="69"/>
      <c r="SAH122" s="69"/>
      <c r="SAI122" s="69"/>
      <c r="SAJ122" s="69"/>
      <c r="SAK122" s="69"/>
      <c r="SAL122" s="69"/>
      <c r="SAM122" s="69"/>
      <c r="SAN122" s="69"/>
      <c r="SAO122" s="69"/>
      <c r="SAP122" s="69"/>
      <c r="SAQ122" s="69"/>
      <c r="SAR122" s="69"/>
      <c r="SAS122" s="69"/>
      <c r="SAT122" s="69"/>
      <c r="SAU122" s="69"/>
      <c r="SAV122" s="69"/>
      <c r="SAW122" s="69"/>
      <c r="SAX122" s="69"/>
      <c r="SAY122" s="69"/>
      <c r="SAZ122" s="69"/>
      <c r="SBA122" s="69"/>
      <c r="SBB122" s="69"/>
      <c r="SBC122" s="69"/>
      <c r="SBD122" s="69"/>
      <c r="SBE122" s="69"/>
      <c r="SBF122" s="69"/>
      <c r="SBG122" s="69"/>
      <c r="SBH122" s="69"/>
      <c r="SBI122" s="69"/>
      <c r="SBJ122" s="69"/>
      <c r="SBK122" s="69"/>
      <c r="SBL122" s="69"/>
      <c r="SBM122" s="69"/>
      <c r="SBN122" s="69"/>
      <c r="SBO122" s="69"/>
      <c r="SBP122" s="69"/>
      <c r="SBQ122" s="69"/>
      <c r="SBR122" s="69"/>
      <c r="SBS122" s="69"/>
      <c r="SBT122" s="69"/>
      <c r="SBU122" s="69"/>
      <c r="SBV122" s="69"/>
      <c r="SBW122" s="69"/>
      <c r="SBX122" s="69"/>
      <c r="SBY122" s="69"/>
      <c r="SBZ122" s="69"/>
      <c r="SCA122" s="69"/>
      <c r="SCB122" s="69"/>
      <c r="SCC122" s="69"/>
      <c r="SCD122" s="69"/>
      <c r="SCE122" s="69"/>
      <c r="SCF122" s="69"/>
      <c r="SCG122" s="69"/>
      <c r="SCH122" s="69"/>
      <c r="SCI122" s="69"/>
      <c r="SCJ122" s="69"/>
      <c r="SCK122" s="69"/>
      <c r="SCL122" s="69"/>
      <c r="SCM122" s="69"/>
      <c r="SCN122" s="69"/>
      <c r="SCO122" s="69"/>
      <c r="SCP122" s="69"/>
      <c r="SCQ122" s="69"/>
      <c r="SCR122" s="69"/>
      <c r="SCS122" s="69"/>
      <c r="SCT122" s="69"/>
      <c r="SCU122" s="69"/>
      <c r="SCV122" s="69"/>
      <c r="SCW122" s="69"/>
      <c r="SCX122" s="69"/>
      <c r="SCY122" s="69"/>
      <c r="SCZ122" s="69"/>
      <c r="SDA122" s="69"/>
      <c r="SDB122" s="69"/>
      <c r="SDC122" s="69"/>
      <c r="SDD122" s="69"/>
      <c r="SDE122" s="69"/>
      <c r="SDF122" s="69"/>
      <c r="SDG122" s="69"/>
      <c r="SDH122" s="69"/>
      <c r="SDI122" s="69"/>
      <c r="SDJ122" s="69"/>
      <c r="SDK122" s="69"/>
      <c r="SDL122" s="69"/>
      <c r="SDM122" s="69"/>
      <c r="SDN122" s="69"/>
      <c r="SDO122" s="69"/>
      <c r="SDP122" s="69"/>
      <c r="SDQ122" s="69"/>
      <c r="SDR122" s="69"/>
      <c r="SDS122" s="69"/>
      <c r="SDT122" s="69"/>
      <c r="SDU122" s="69"/>
      <c r="SDV122" s="69"/>
      <c r="SDW122" s="69"/>
      <c r="SDX122" s="69"/>
      <c r="SDY122" s="69"/>
      <c r="SDZ122" s="69"/>
      <c r="SEA122" s="69"/>
      <c r="SEB122" s="69"/>
      <c r="SEC122" s="69"/>
      <c r="SED122" s="69"/>
      <c r="SEE122" s="69"/>
      <c r="SEF122" s="69"/>
      <c r="SEG122" s="69"/>
      <c r="SEH122" s="69"/>
      <c r="SEI122" s="69"/>
      <c r="SEJ122" s="69"/>
      <c r="SEK122" s="69"/>
      <c r="SEL122" s="69"/>
      <c r="SEM122" s="69"/>
      <c r="SEN122" s="69"/>
      <c r="SEO122" s="69"/>
      <c r="SEP122" s="69"/>
      <c r="SEQ122" s="69"/>
      <c r="SER122" s="69"/>
      <c r="SES122" s="69"/>
      <c r="SET122" s="69"/>
      <c r="SEU122" s="69"/>
      <c r="SEV122" s="69"/>
      <c r="SEW122" s="69"/>
      <c r="SEX122" s="69"/>
      <c r="SEY122" s="69"/>
      <c r="SEZ122" s="69"/>
      <c r="SFA122" s="69"/>
      <c r="SFB122" s="69"/>
      <c r="SFC122" s="69"/>
      <c r="SFD122" s="69"/>
      <c r="SFE122" s="69"/>
      <c r="SFF122" s="69"/>
      <c r="SFG122" s="69"/>
      <c r="SFH122" s="69"/>
      <c r="SFI122" s="69"/>
      <c r="SFJ122" s="69"/>
      <c r="SFK122" s="69"/>
      <c r="SFL122" s="69"/>
      <c r="SFM122" s="69"/>
      <c r="SFN122" s="69"/>
      <c r="SFO122" s="69"/>
      <c r="SFP122" s="69"/>
      <c r="SFQ122" s="69"/>
      <c r="SFR122" s="69"/>
      <c r="SFS122" s="69"/>
      <c r="SFT122" s="69"/>
      <c r="SFU122" s="69"/>
      <c r="SFV122" s="69"/>
      <c r="SFW122" s="69"/>
      <c r="SFX122" s="69"/>
      <c r="SFY122" s="69"/>
      <c r="SFZ122" s="69"/>
      <c r="SGA122" s="69"/>
      <c r="SGB122" s="69"/>
      <c r="SGC122" s="69"/>
      <c r="SGD122" s="69"/>
      <c r="SGE122" s="69"/>
      <c r="SGF122" s="69"/>
      <c r="SGG122" s="69"/>
      <c r="SGH122" s="69"/>
      <c r="SGI122" s="69"/>
      <c r="SGJ122" s="69"/>
      <c r="SGK122" s="69"/>
      <c r="SGL122" s="69"/>
      <c r="SGM122" s="69"/>
      <c r="SGN122" s="69"/>
      <c r="SGO122" s="69"/>
      <c r="SGP122" s="69"/>
      <c r="SGQ122" s="69"/>
      <c r="SGR122" s="69"/>
      <c r="SGS122" s="69"/>
      <c r="SGT122" s="69"/>
      <c r="SGU122" s="69"/>
      <c r="SGV122" s="69"/>
      <c r="SGW122" s="69"/>
      <c r="SGX122" s="69"/>
      <c r="SGY122" s="69"/>
      <c r="SGZ122" s="69"/>
      <c r="SHA122" s="69"/>
      <c r="SHB122" s="69"/>
      <c r="SHC122" s="69"/>
      <c r="SHD122" s="69"/>
      <c r="SHE122" s="69"/>
      <c r="SHF122" s="69"/>
      <c r="SHG122" s="69"/>
      <c r="SHH122" s="69"/>
      <c r="SHI122" s="69"/>
      <c r="SHJ122" s="69"/>
      <c r="SHK122" s="69"/>
      <c r="SHL122" s="69"/>
      <c r="SHM122" s="69"/>
      <c r="SHN122" s="69"/>
      <c r="SHO122" s="69"/>
      <c r="SHP122" s="69"/>
      <c r="SHQ122" s="69"/>
      <c r="SHR122" s="69"/>
      <c r="SHS122" s="69"/>
      <c r="SHT122" s="69"/>
      <c r="SHU122" s="69"/>
      <c r="SHV122" s="69"/>
      <c r="SHW122" s="69"/>
      <c r="SHX122" s="69"/>
      <c r="SHY122" s="69"/>
      <c r="SHZ122" s="69"/>
      <c r="SIA122" s="69"/>
      <c r="SIB122" s="69"/>
      <c r="SIC122" s="69"/>
      <c r="SID122" s="69"/>
      <c r="SIE122" s="69"/>
      <c r="SIF122" s="69"/>
      <c r="SIG122" s="69"/>
      <c r="SIH122" s="69"/>
      <c r="SII122" s="69"/>
      <c r="SIJ122" s="69"/>
      <c r="SIK122" s="69"/>
      <c r="SIL122" s="69"/>
      <c r="SIM122" s="69"/>
      <c r="SIN122" s="69"/>
      <c r="SIO122" s="69"/>
      <c r="SIP122" s="69"/>
      <c r="SIQ122" s="69"/>
      <c r="SIR122" s="69"/>
      <c r="SIS122" s="69"/>
      <c r="SIT122" s="69"/>
      <c r="SIU122" s="69"/>
      <c r="SIV122" s="69"/>
      <c r="SIW122" s="69"/>
      <c r="SIX122" s="69"/>
      <c r="SIY122" s="69"/>
      <c r="SIZ122" s="69"/>
      <c r="SJA122" s="69"/>
      <c r="SJB122" s="69"/>
      <c r="SJC122" s="69"/>
      <c r="SJD122" s="69"/>
      <c r="SJE122" s="69"/>
      <c r="SJF122" s="69"/>
      <c r="SJG122" s="69"/>
      <c r="SJH122" s="69"/>
      <c r="SJI122" s="69"/>
      <c r="SJJ122" s="69"/>
      <c r="SJK122" s="69"/>
      <c r="SJL122" s="69"/>
      <c r="SJM122" s="69"/>
      <c r="SJN122" s="69"/>
      <c r="SJO122" s="69"/>
      <c r="SJP122" s="69"/>
      <c r="SJQ122" s="69"/>
      <c r="SJR122" s="69"/>
      <c r="SJS122" s="69"/>
      <c r="SJT122" s="69"/>
      <c r="SJU122" s="69"/>
      <c r="SJV122" s="69"/>
      <c r="SJW122" s="69"/>
      <c r="SJX122" s="69"/>
      <c r="SJY122" s="69"/>
      <c r="SJZ122" s="69"/>
      <c r="SKA122" s="69"/>
      <c r="SKB122" s="69"/>
      <c r="SKC122" s="69"/>
      <c r="SKD122" s="69"/>
      <c r="SKE122" s="69"/>
      <c r="SKF122" s="69"/>
      <c r="SKG122" s="69"/>
      <c r="SKH122" s="69"/>
      <c r="SKI122" s="69"/>
      <c r="SKJ122" s="69"/>
      <c r="SKK122" s="69"/>
      <c r="SKL122" s="69"/>
      <c r="SKM122" s="69"/>
      <c r="SKN122" s="69"/>
      <c r="SKO122" s="69"/>
      <c r="SKP122" s="69"/>
      <c r="SKQ122" s="69"/>
      <c r="SKR122" s="69"/>
      <c r="SKS122" s="69"/>
      <c r="SKT122" s="69"/>
      <c r="SKU122" s="69"/>
      <c r="SKV122" s="69"/>
      <c r="SKW122" s="69"/>
      <c r="SKX122" s="69"/>
      <c r="SKY122" s="69"/>
      <c r="SKZ122" s="69"/>
      <c r="SLA122" s="69"/>
      <c r="SLB122" s="69"/>
      <c r="SLC122" s="69"/>
      <c r="SLD122" s="69"/>
      <c r="SLE122" s="69"/>
      <c r="SLF122" s="69"/>
      <c r="SLG122" s="69"/>
      <c r="SLH122" s="69"/>
      <c r="SLI122" s="69"/>
      <c r="SLJ122" s="69"/>
      <c r="SLK122" s="69"/>
      <c r="SLL122" s="69"/>
      <c r="SLM122" s="69"/>
      <c r="SLN122" s="69"/>
      <c r="SLO122" s="69"/>
      <c r="SLP122" s="69"/>
      <c r="SLQ122" s="69"/>
      <c r="SLR122" s="69"/>
      <c r="SLS122" s="69"/>
      <c r="SLT122" s="69"/>
      <c r="SLU122" s="69"/>
      <c r="SLV122" s="69"/>
      <c r="SLW122" s="69"/>
      <c r="SLX122" s="69"/>
      <c r="SLY122" s="69"/>
      <c r="SLZ122" s="69"/>
      <c r="SMA122" s="69"/>
      <c r="SMB122" s="69"/>
      <c r="SMC122" s="69"/>
      <c r="SMD122" s="69"/>
      <c r="SME122" s="69"/>
      <c r="SMF122" s="69"/>
      <c r="SMG122" s="69"/>
      <c r="SMH122" s="69"/>
      <c r="SMI122" s="69"/>
      <c r="SMJ122" s="69"/>
      <c r="SMK122" s="69"/>
      <c r="SML122" s="69"/>
      <c r="SMM122" s="69"/>
      <c r="SMN122" s="69"/>
      <c r="SMO122" s="69"/>
      <c r="SMP122" s="69"/>
      <c r="SMQ122" s="69"/>
      <c r="SMR122" s="69"/>
      <c r="SMS122" s="69"/>
      <c r="SMT122" s="69"/>
      <c r="SMU122" s="69"/>
      <c r="SMV122" s="69"/>
      <c r="SMW122" s="69"/>
      <c r="SMX122" s="69"/>
      <c r="SMY122" s="69"/>
      <c r="SMZ122" s="69"/>
      <c r="SNA122" s="69"/>
      <c r="SNB122" s="69"/>
      <c r="SNC122" s="69"/>
      <c r="SND122" s="69"/>
      <c r="SNE122" s="69"/>
      <c r="SNF122" s="69"/>
      <c r="SNG122" s="69"/>
      <c r="SNH122" s="69"/>
      <c r="SNI122" s="69"/>
      <c r="SNJ122" s="69"/>
      <c r="SNK122" s="69"/>
      <c r="SNL122" s="69"/>
      <c r="SNM122" s="69"/>
      <c r="SNN122" s="69"/>
      <c r="SNO122" s="69"/>
      <c r="SNP122" s="69"/>
      <c r="SNQ122" s="69"/>
      <c r="SNR122" s="69"/>
      <c r="SNS122" s="69"/>
      <c r="SNT122" s="69"/>
      <c r="SNU122" s="69"/>
      <c r="SNV122" s="69"/>
      <c r="SNW122" s="69"/>
      <c r="SNX122" s="69"/>
      <c r="SNY122" s="69"/>
      <c r="SNZ122" s="69"/>
      <c r="SOA122" s="69"/>
      <c r="SOB122" s="69"/>
      <c r="SOC122" s="69"/>
      <c r="SOD122" s="69"/>
      <c r="SOE122" s="69"/>
      <c r="SOF122" s="69"/>
      <c r="SOG122" s="69"/>
      <c r="SOH122" s="69"/>
      <c r="SOI122" s="69"/>
      <c r="SOJ122" s="69"/>
      <c r="SOK122" s="69"/>
      <c r="SOL122" s="69"/>
      <c r="SOM122" s="69"/>
      <c r="SON122" s="69"/>
      <c r="SOO122" s="69"/>
      <c r="SOP122" s="69"/>
      <c r="SOQ122" s="69"/>
      <c r="SOR122" s="69"/>
      <c r="SOS122" s="69"/>
      <c r="SOT122" s="69"/>
      <c r="SOU122" s="69"/>
      <c r="SOV122" s="69"/>
      <c r="SOW122" s="69"/>
      <c r="SOX122" s="69"/>
      <c r="SOY122" s="69"/>
      <c r="SOZ122" s="69"/>
      <c r="SPA122" s="69"/>
      <c r="SPB122" s="69"/>
      <c r="SPC122" s="69"/>
      <c r="SPD122" s="69"/>
      <c r="SPE122" s="69"/>
      <c r="SPF122" s="69"/>
      <c r="SPG122" s="69"/>
      <c r="SPH122" s="69"/>
      <c r="SPI122" s="69"/>
      <c r="SPJ122" s="69"/>
      <c r="SPK122" s="69"/>
      <c r="SPL122" s="69"/>
      <c r="SPM122" s="69"/>
      <c r="SPN122" s="69"/>
      <c r="SPO122" s="69"/>
      <c r="SPP122" s="69"/>
      <c r="SPQ122" s="69"/>
      <c r="SPR122" s="69"/>
      <c r="SPS122" s="69"/>
      <c r="SPT122" s="69"/>
      <c r="SPU122" s="69"/>
      <c r="SPV122" s="69"/>
      <c r="SPW122" s="69"/>
      <c r="SPX122" s="69"/>
      <c r="SPY122" s="69"/>
      <c r="SPZ122" s="69"/>
      <c r="SQA122" s="69"/>
      <c r="SQB122" s="69"/>
      <c r="SQC122" s="69"/>
      <c r="SQD122" s="69"/>
      <c r="SQE122" s="69"/>
      <c r="SQF122" s="69"/>
      <c r="SQG122" s="69"/>
      <c r="SQH122" s="69"/>
      <c r="SQI122" s="69"/>
      <c r="SQJ122" s="69"/>
      <c r="SQK122" s="69"/>
      <c r="SQL122" s="69"/>
      <c r="SQM122" s="69"/>
      <c r="SQN122" s="69"/>
      <c r="SQO122" s="69"/>
      <c r="SQP122" s="69"/>
      <c r="SQQ122" s="69"/>
      <c r="SQR122" s="69"/>
      <c r="SQS122" s="69"/>
      <c r="SQT122" s="69"/>
      <c r="SQU122" s="69"/>
      <c r="SQV122" s="69"/>
      <c r="SQW122" s="69"/>
      <c r="SQX122" s="69"/>
      <c r="SQY122" s="69"/>
      <c r="SQZ122" s="69"/>
      <c r="SRA122" s="69"/>
      <c r="SRB122" s="69"/>
      <c r="SRC122" s="69"/>
      <c r="SRD122" s="69"/>
      <c r="SRE122" s="69"/>
      <c r="SRF122" s="69"/>
      <c r="SRG122" s="69"/>
      <c r="SRH122" s="69"/>
      <c r="SRI122" s="69"/>
      <c r="SRJ122" s="69"/>
      <c r="SRK122" s="69"/>
      <c r="SRL122" s="69"/>
      <c r="SRM122" s="69"/>
      <c r="SRN122" s="69"/>
      <c r="SRO122" s="69"/>
      <c r="SRP122" s="69"/>
      <c r="SRQ122" s="69"/>
      <c r="SRR122" s="69"/>
      <c r="SRS122" s="69"/>
      <c r="SRT122" s="69"/>
      <c r="SRU122" s="69"/>
      <c r="SRV122" s="69"/>
      <c r="SRW122" s="69"/>
      <c r="SRX122" s="69"/>
      <c r="SRY122" s="69"/>
      <c r="SRZ122" s="69"/>
      <c r="SSA122" s="69"/>
      <c r="SSB122" s="69"/>
      <c r="SSC122" s="69"/>
      <c r="SSD122" s="69"/>
      <c r="SSE122" s="69"/>
      <c r="SSF122" s="69"/>
      <c r="SSG122" s="69"/>
      <c r="SSH122" s="69"/>
      <c r="SSI122" s="69"/>
      <c r="SSJ122" s="69"/>
      <c r="SSK122" s="69"/>
      <c r="SSL122" s="69"/>
      <c r="SSM122" s="69"/>
      <c r="SSN122" s="69"/>
      <c r="SSO122" s="69"/>
      <c r="SSP122" s="69"/>
      <c r="SSQ122" s="69"/>
      <c r="SSR122" s="69"/>
      <c r="SSS122" s="69"/>
      <c r="SST122" s="69"/>
      <c r="SSU122" s="69"/>
      <c r="SSV122" s="69"/>
      <c r="SSW122" s="69"/>
      <c r="SSX122" s="69"/>
      <c r="SSY122" s="69"/>
      <c r="SSZ122" s="69"/>
      <c r="STA122" s="69"/>
      <c r="STB122" s="69"/>
      <c r="STC122" s="69"/>
      <c r="STD122" s="69"/>
      <c r="STE122" s="69"/>
      <c r="STF122" s="69"/>
      <c r="STG122" s="69"/>
      <c r="STH122" s="69"/>
      <c r="STI122" s="69"/>
      <c r="STJ122" s="69"/>
      <c r="STK122" s="69"/>
      <c r="STL122" s="69"/>
      <c r="STM122" s="69"/>
      <c r="STN122" s="69"/>
      <c r="STO122" s="69"/>
      <c r="STP122" s="69"/>
      <c r="STQ122" s="69"/>
      <c r="STR122" s="69"/>
      <c r="STS122" s="69"/>
      <c r="STT122" s="69"/>
      <c r="STU122" s="69"/>
      <c r="STV122" s="69"/>
      <c r="STW122" s="69"/>
      <c r="STX122" s="69"/>
      <c r="STY122" s="69"/>
      <c r="STZ122" s="69"/>
      <c r="SUA122" s="69"/>
      <c r="SUB122" s="69"/>
      <c r="SUC122" s="69"/>
      <c r="SUD122" s="69"/>
      <c r="SUE122" s="69"/>
      <c r="SUF122" s="69"/>
      <c r="SUG122" s="69"/>
      <c r="SUH122" s="69"/>
      <c r="SUI122" s="69"/>
      <c r="SUJ122" s="69"/>
      <c r="SUK122" s="69"/>
      <c r="SUL122" s="69"/>
      <c r="SUM122" s="69"/>
      <c r="SUN122" s="69"/>
      <c r="SUO122" s="69"/>
      <c r="SUP122" s="69"/>
      <c r="SUQ122" s="69"/>
      <c r="SUR122" s="69"/>
      <c r="SUS122" s="69"/>
      <c r="SUT122" s="69"/>
      <c r="SUU122" s="69"/>
      <c r="SUV122" s="69"/>
      <c r="SUW122" s="69"/>
      <c r="SUX122" s="69"/>
      <c r="SUY122" s="69"/>
      <c r="SUZ122" s="69"/>
      <c r="SVA122" s="69"/>
      <c r="SVB122" s="69"/>
      <c r="SVC122" s="69"/>
      <c r="SVD122" s="69"/>
      <c r="SVE122" s="69"/>
      <c r="SVF122" s="69"/>
      <c r="SVG122" s="69"/>
      <c r="SVH122" s="69"/>
      <c r="SVI122" s="69"/>
      <c r="SVJ122" s="69"/>
      <c r="SVK122" s="69"/>
      <c r="SVL122" s="69"/>
      <c r="SVM122" s="69"/>
      <c r="SVN122" s="69"/>
      <c r="SVO122" s="69"/>
      <c r="SVP122" s="69"/>
      <c r="SVQ122" s="69"/>
      <c r="SVR122" s="69"/>
      <c r="SVS122" s="69"/>
      <c r="SVT122" s="69"/>
      <c r="SVU122" s="69"/>
      <c r="SVV122" s="69"/>
      <c r="SVW122" s="69"/>
      <c r="SVX122" s="69"/>
      <c r="SVY122" s="69"/>
      <c r="SVZ122" s="69"/>
      <c r="SWA122" s="69"/>
      <c r="SWB122" s="69"/>
      <c r="SWC122" s="69"/>
      <c r="SWD122" s="69"/>
      <c r="SWE122" s="69"/>
      <c r="SWF122" s="69"/>
      <c r="SWG122" s="69"/>
      <c r="SWH122" s="69"/>
      <c r="SWI122" s="69"/>
      <c r="SWJ122" s="69"/>
      <c r="SWK122" s="69"/>
      <c r="SWL122" s="69"/>
      <c r="SWM122" s="69"/>
      <c r="SWN122" s="69"/>
      <c r="SWO122" s="69"/>
      <c r="SWP122" s="69"/>
      <c r="SWQ122" s="69"/>
      <c r="SWR122" s="69"/>
      <c r="SWS122" s="69"/>
      <c r="SWT122" s="69"/>
      <c r="SWU122" s="69"/>
      <c r="SWV122" s="69"/>
      <c r="SWW122" s="69"/>
      <c r="SWX122" s="69"/>
      <c r="SWY122" s="69"/>
      <c r="SWZ122" s="69"/>
      <c r="SXA122" s="69"/>
      <c r="SXB122" s="69"/>
      <c r="SXC122" s="69"/>
      <c r="SXD122" s="69"/>
      <c r="SXE122" s="69"/>
      <c r="SXF122" s="69"/>
      <c r="SXG122" s="69"/>
      <c r="SXH122" s="69"/>
      <c r="SXI122" s="69"/>
      <c r="SXJ122" s="69"/>
      <c r="SXK122" s="69"/>
      <c r="SXL122" s="69"/>
      <c r="SXM122" s="69"/>
      <c r="SXN122" s="69"/>
      <c r="SXO122" s="69"/>
      <c r="SXP122" s="69"/>
      <c r="SXQ122" s="69"/>
      <c r="SXR122" s="69"/>
      <c r="SXS122" s="69"/>
      <c r="SXT122" s="69"/>
      <c r="SXU122" s="69"/>
      <c r="SXV122" s="69"/>
      <c r="SXW122" s="69"/>
      <c r="SXX122" s="69"/>
      <c r="SXY122" s="69"/>
      <c r="SXZ122" s="69"/>
      <c r="SYA122" s="69"/>
      <c r="SYB122" s="69"/>
      <c r="SYC122" s="69"/>
      <c r="SYD122" s="69"/>
      <c r="SYE122" s="69"/>
      <c r="SYF122" s="69"/>
      <c r="SYG122" s="69"/>
      <c r="SYH122" s="69"/>
      <c r="SYI122" s="69"/>
      <c r="SYJ122" s="69"/>
      <c r="SYK122" s="69"/>
      <c r="SYL122" s="69"/>
      <c r="SYM122" s="69"/>
      <c r="SYN122" s="69"/>
      <c r="SYO122" s="69"/>
      <c r="SYP122" s="69"/>
      <c r="SYQ122" s="69"/>
      <c r="SYR122" s="69"/>
      <c r="SYS122" s="69"/>
      <c r="SYT122" s="69"/>
      <c r="SYU122" s="69"/>
      <c r="SYV122" s="69"/>
      <c r="SYW122" s="69"/>
      <c r="SYX122" s="69"/>
      <c r="SYY122" s="69"/>
      <c r="SYZ122" s="69"/>
      <c r="SZA122" s="69"/>
      <c r="SZB122" s="69"/>
      <c r="SZC122" s="69"/>
      <c r="SZD122" s="69"/>
      <c r="SZE122" s="69"/>
      <c r="SZF122" s="69"/>
      <c r="SZG122" s="69"/>
      <c r="SZH122" s="69"/>
      <c r="SZI122" s="69"/>
      <c r="SZJ122" s="69"/>
      <c r="SZK122" s="69"/>
      <c r="SZL122" s="69"/>
      <c r="SZM122" s="69"/>
      <c r="SZN122" s="69"/>
      <c r="SZO122" s="69"/>
      <c r="SZP122" s="69"/>
      <c r="SZQ122" s="69"/>
      <c r="SZR122" s="69"/>
      <c r="SZS122" s="69"/>
      <c r="SZT122" s="69"/>
      <c r="SZU122" s="69"/>
      <c r="SZV122" s="69"/>
      <c r="SZW122" s="69"/>
      <c r="SZX122" s="69"/>
      <c r="SZY122" s="69"/>
      <c r="SZZ122" s="69"/>
      <c r="TAA122" s="69"/>
      <c r="TAB122" s="69"/>
      <c r="TAC122" s="69"/>
      <c r="TAD122" s="69"/>
      <c r="TAE122" s="69"/>
      <c r="TAF122" s="69"/>
      <c r="TAG122" s="69"/>
      <c r="TAH122" s="69"/>
      <c r="TAI122" s="69"/>
      <c r="TAJ122" s="69"/>
      <c r="TAK122" s="69"/>
      <c r="TAL122" s="69"/>
      <c r="TAM122" s="69"/>
      <c r="TAN122" s="69"/>
      <c r="TAO122" s="69"/>
      <c r="TAP122" s="69"/>
      <c r="TAQ122" s="69"/>
      <c r="TAR122" s="69"/>
      <c r="TAS122" s="69"/>
      <c r="TAT122" s="69"/>
      <c r="TAU122" s="69"/>
      <c r="TAV122" s="69"/>
      <c r="TAW122" s="69"/>
      <c r="TAX122" s="69"/>
      <c r="TAY122" s="69"/>
      <c r="TAZ122" s="69"/>
      <c r="TBA122" s="69"/>
      <c r="TBB122" s="69"/>
      <c r="TBC122" s="69"/>
      <c r="TBD122" s="69"/>
      <c r="TBE122" s="69"/>
      <c r="TBF122" s="69"/>
      <c r="TBG122" s="69"/>
      <c r="TBH122" s="69"/>
      <c r="TBI122" s="69"/>
      <c r="TBJ122" s="69"/>
      <c r="TBK122" s="69"/>
      <c r="TBL122" s="69"/>
      <c r="TBM122" s="69"/>
      <c r="TBN122" s="69"/>
      <c r="TBO122" s="69"/>
      <c r="TBP122" s="69"/>
      <c r="TBQ122" s="69"/>
      <c r="TBR122" s="69"/>
      <c r="TBS122" s="69"/>
      <c r="TBT122" s="69"/>
      <c r="TBU122" s="69"/>
      <c r="TBV122" s="69"/>
      <c r="TBW122" s="69"/>
      <c r="TBX122" s="69"/>
      <c r="TBY122" s="69"/>
      <c r="TBZ122" s="69"/>
      <c r="TCA122" s="69"/>
      <c r="TCB122" s="69"/>
      <c r="TCC122" s="69"/>
      <c r="TCD122" s="69"/>
      <c r="TCE122" s="69"/>
      <c r="TCF122" s="69"/>
      <c r="TCG122" s="69"/>
      <c r="TCH122" s="69"/>
      <c r="TCI122" s="69"/>
      <c r="TCJ122" s="69"/>
      <c r="TCK122" s="69"/>
      <c r="TCL122" s="69"/>
      <c r="TCM122" s="69"/>
      <c r="TCN122" s="69"/>
      <c r="TCO122" s="69"/>
      <c r="TCP122" s="69"/>
      <c r="TCQ122" s="69"/>
      <c r="TCR122" s="69"/>
      <c r="TCS122" s="69"/>
      <c r="TCT122" s="69"/>
      <c r="TCU122" s="69"/>
      <c r="TCV122" s="69"/>
      <c r="TCW122" s="69"/>
      <c r="TCX122" s="69"/>
      <c r="TCY122" s="69"/>
      <c r="TCZ122" s="69"/>
      <c r="TDA122" s="69"/>
      <c r="TDB122" s="69"/>
      <c r="TDC122" s="69"/>
      <c r="TDD122" s="69"/>
      <c r="TDE122" s="69"/>
      <c r="TDF122" s="69"/>
      <c r="TDG122" s="69"/>
      <c r="TDH122" s="69"/>
      <c r="TDI122" s="69"/>
      <c r="TDJ122" s="69"/>
      <c r="TDK122" s="69"/>
      <c r="TDL122" s="69"/>
      <c r="TDM122" s="69"/>
      <c r="TDN122" s="69"/>
      <c r="TDO122" s="69"/>
      <c r="TDP122" s="69"/>
      <c r="TDQ122" s="69"/>
      <c r="TDR122" s="69"/>
      <c r="TDS122" s="69"/>
      <c r="TDT122" s="69"/>
      <c r="TDU122" s="69"/>
      <c r="TDV122" s="69"/>
      <c r="TDW122" s="69"/>
      <c r="TDX122" s="69"/>
      <c r="TDY122" s="69"/>
      <c r="TDZ122" s="69"/>
      <c r="TEA122" s="69"/>
      <c r="TEB122" s="69"/>
      <c r="TEC122" s="69"/>
      <c r="TED122" s="69"/>
      <c r="TEE122" s="69"/>
      <c r="TEF122" s="69"/>
      <c r="TEG122" s="69"/>
      <c r="TEH122" s="69"/>
      <c r="TEI122" s="69"/>
      <c r="TEJ122" s="69"/>
      <c r="TEK122" s="69"/>
      <c r="TEL122" s="69"/>
      <c r="TEM122" s="69"/>
      <c r="TEN122" s="69"/>
      <c r="TEO122" s="69"/>
      <c r="TEP122" s="69"/>
      <c r="TEQ122" s="69"/>
      <c r="TER122" s="69"/>
      <c r="TES122" s="69"/>
      <c r="TET122" s="69"/>
      <c r="TEU122" s="69"/>
      <c r="TEV122" s="69"/>
      <c r="TEW122" s="69"/>
      <c r="TEX122" s="69"/>
      <c r="TEY122" s="69"/>
      <c r="TEZ122" s="69"/>
      <c r="TFA122" s="69"/>
      <c r="TFB122" s="69"/>
      <c r="TFC122" s="69"/>
      <c r="TFD122" s="69"/>
      <c r="TFE122" s="69"/>
      <c r="TFF122" s="69"/>
      <c r="TFG122" s="69"/>
      <c r="TFH122" s="69"/>
      <c r="TFI122" s="69"/>
      <c r="TFJ122" s="69"/>
      <c r="TFK122" s="69"/>
      <c r="TFL122" s="69"/>
      <c r="TFM122" s="69"/>
      <c r="TFN122" s="69"/>
      <c r="TFO122" s="69"/>
      <c r="TFP122" s="69"/>
      <c r="TFQ122" s="69"/>
      <c r="TFR122" s="69"/>
      <c r="TFS122" s="69"/>
      <c r="TFT122" s="69"/>
      <c r="TFU122" s="69"/>
      <c r="TFV122" s="69"/>
      <c r="TFW122" s="69"/>
      <c r="TFX122" s="69"/>
      <c r="TFY122" s="69"/>
      <c r="TFZ122" s="69"/>
      <c r="TGA122" s="69"/>
      <c r="TGB122" s="69"/>
      <c r="TGC122" s="69"/>
      <c r="TGD122" s="69"/>
      <c r="TGE122" s="69"/>
      <c r="TGF122" s="69"/>
      <c r="TGG122" s="69"/>
      <c r="TGH122" s="69"/>
      <c r="TGI122" s="69"/>
      <c r="TGJ122" s="69"/>
      <c r="TGK122" s="69"/>
      <c r="TGL122" s="69"/>
      <c r="TGM122" s="69"/>
      <c r="TGN122" s="69"/>
      <c r="TGO122" s="69"/>
      <c r="TGP122" s="69"/>
      <c r="TGQ122" s="69"/>
      <c r="TGR122" s="69"/>
      <c r="TGS122" s="69"/>
      <c r="TGT122" s="69"/>
      <c r="TGU122" s="69"/>
      <c r="TGV122" s="69"/>
      <c r="TGW122" s="69"/>
      <c r="TGX122" s="69"/>
      <c r="TGY122" s="69"/>
      <c r="TGZ122" s="69"/>
      <c r="THA122" s="69"/>
      <c r="THB122" s="69"/>
      <c r="THC122" s="69"/>
      <c r="THD122" s="69"/>
      <c r="THE122" s="69"/>
      <c r="THF122" s="69"/>
      <c r="THG122" s="69"/>
      <c r="THH122" s="69"/>
      <c r="THI122" s="69"/>
      <c r="THJ122" s="69"/>
      <c r="THK122" s="69"/>
      <c r="THL122" s="69"/>
      <c r="THM122" s="69"/>
      <c r="THN122" s="69"/>
      <c r="THO122" s="69"/>
      <c r="THP122" s="69"/>
      <c r="THQ122" s="69"/>
      <c r="THR122" s="69"/>
      <c r="THS122" s="69"/>
      <c r="THT122" s="69"/>
      <c r="THU122" s="69"/>
      <c r="THV122" s="69"/>
      <c r="THW122" s="69"/>
      <c r="THX122" s="69"/>
      <c r="THY122" s="69"/>
      <c r="THZ122" s="69"/>
      <c r="TIA122" s="69"/>
      <c r="TIB122" s="69"/>
      <c r="TIC122" s="69"/>
      <c r="TID122" s="69"/>
      <c r="TIE122" s="69"/>
      <c r="TIF122" s="69"/>
      <c r="TIG122" s="69"/>
      <c r="TIH122" s="69"/>
      <c r="TII122" s="69"/>
      <c r="TIJ122" s="69"/>
      <c r="TIK122" s="69"/>
      <c r="TIL122" s="69"/>
      <c r="TIM122" s="69"/>
      <c r="TIN122" s="69"/>
      <c r="TIO122" s="69"/>
      <c r="TIP122" s="69"/>
      <c r="TIQ122" s="69"/>
      <c r="TIR122" s="69"/>
      <c r="TIS122" s="69"/>
      <c r="TIT122" s="69"/>
      <c r="TIU122" s="69"/>
      <c r="TIV122" s="69"/>
      <c r="TIW122" s="69"/>
      <c r="TIX122" s="69"/>
      <c r="TIY122" s="69"/>
      <c r="TIZ122" s="69"/>
      <c r="TJA122" s="69"/>
      <c r="TJB122" s="69"/>
      <c r="TJC122" s="69"/>
      <c r="TJD122" s="69"/>
      <c r="TJE122" s="69"/>
      <c r="TJF122" s="69"/>
      <c r="TJG122" s="69"/>
      <c r="TJH122" s="69"/>
      <c r="TJI122" s="69"/>
      <c r="TJJ122" s="69"/>
      <c r="TJK122" s="69"/>
      <c r="TJL122" s="69"/>
      <c r="TJM122" s="69"/>
      <c r="TJN122" s="69"/>
      <c r="TJO122" s="69"/>
      <c r="TJP122" s="69"/>
      <c r="TJQ122" s="69"/>
      <c r="TJR122" s="69"/>
      <c r="TJS122" s="69"/>
      <c r="TJT122" s="69"/>
      <c r="TJU122" s="69"/>
      <c r="TJV122" s="69"/>
      <c r="TJW122" s="69"/>
      <c r="TJX122" s="69"/>
      <c r="TJY122" s="69"/>
      <c r="TJZ122" s="69"/>
      <c r="TKA122" s="69"/>
      <c r="TKB122" s="69"/>
      <c r="TKC122" s="69"/>
      <c r="TKD122" s="69"/>
      <c r="TKE122" s="69"/>
      <c r="TKF122" s="69"/>
      <c r="TKG122" s="69"/>
      <c r="TKH122" s="69"/>
      <c r="TKI122" s="69"/>
      <c r="TKJ122" s="69"/>
      <c r="TKK122" s="69"/>
      <c r="TKL122" s="69"/>
      <c r="TKM122" s="69"/>
      <c r="TKN122" s="69"/>
      <c r="TKO122" s="69"/>
      <c r="TKP122" s="69"/>
      <c r="TKQ122" s="69"/>
      <c r="TKR122" s="69"/>
      <c r="TKS122" s="69"/>
      <c r="TKT122" s="69"/>
      <c r="TKU122" s="69"/>
      <c r="TKV122" s="69"/>
      <c r="TKW122" s="69"/>
      <c r="TKX122" s="69"/>
      <c r="TKY122" s="69"/>
      <c r="TKZ122" s="69"/>
      <c r="TLA122" s="69"/>
      <c r="TLB122" s="69"/>
      <c r="TLC122" s="69"/>
      <c r="TLD122" s="69"/>
      <c r="TLE122" s="69"/>
      <c r="TLF122" s="69"/>
      <c r="TLG122" s="69"/>
      <c r="TLH122" s="69"/>
      <c r="TLI122" s="69"/>
      <c r="TLJ122" s="69"/>
      <c r="TLK122" s="69"/>
      <c r="TLL122" s="69"/>
      <c r="TLM122" s="69"/>
      <c r="TLN122" s="69"/>
      <c r="TLO122" s="69"/>
      <c r="TLP122" s="69"/>
      <c r="TLQ122" s="69"/>
      <c r="TLR122" s="69"/>
      <c r="TLS122" s="69"/>
      <c r="TLT122" s="69"/>
      <c r="TLU122" s="69"/>
      <c r="TLV122" s="69"/>
      <c r="TLW122" s="69"/>
      <c r="TLX122" s="69"/>
      <c r="TLY122" s="69"/>
      <c r="TLZ122" s="69"/>
      <c r="TMA122" s="69"/>
      <c r="TMB122" s="69"/>
      <c r="TMC122" s="69"/>
      <c r="TMD122" s="69"/>
      <c r="TME122" s="69"/>
      <c r="TMF122" s="69"/>
      <c r="TMG122" s="69"/>
      <c r="TMH122" s="69"/>
      <c r="TMI122" s="69"/>
      <c r="TMJ122" s="69"/>
      <c r="TMK122" s="69"/>
      <c r="TML122" s="69"/>
      <c r="TMM122" s="69"/>
      <c r="TMN122" s="69"/>
      <c r="TMO122" s="69"/>
      <c r="TMP122" s="69"/>
      <c r="TMQ122" s="69"/>
      <c r="TMR122" s="69"/>
      <c r="TMS122" s="69"/>
      <c r="TMT122" s="69"/>
      <c r="TMU122" s="69"/>
      <c r="TMV122" s="69"/>
      <c r="TMW122" s="69"/>
      <c r="TMX122" s="69"/>
      <c r="TMY122" s="69"/>
      <c r="TMZ122" s="69"/>
      <c r="TNA122" s="69"/>
      <c r="TNB122" s="69"/>
      <c r="TNC122" s="69"/>
      <c r="TND122" s="69"/>
      <c r="TNE122" s="69"/>
      <c r="TNF122" s="69"/>
      <c r="TNG122" s="69"/>
      <c r="TNH122" s="69"/>
      <c r="TNI122" s="69"/>
      <c r="TNJ122" s="69"/>
      <c r="TNK122" s="69"/>
      <c r="TNL122" s="69"/>
      <c r="TNM122" s="69"/>
      <c r="TNN122" s="69"/>
      <c r="TNO122" s="69"/>
      <c r="TNP122" s="69"/>
      <c r="TNQ122" s="69"/>
      <c r="TNR122" s="69"/>
      <c r="TNS122" s="69"/>
      <c r="TNT122" s="69"/>
      <c r="TNU122" s="69"/>
      <c r="TNV122" s="69"/>
      <c r="TNW122" s="69"/>
      <c r="TNX122" s="69"/>
      <c r="TNY122" s="69"/>
      <c r="TNZ122" s="69"/>
      <c r="TOA122" s="69"/>
      <c r="TOB122" s="69"/>
      <c r="TOC122" s="69"/>
      <c r="TOD122" s="69"/>
      <c r="TOE122" s="69"/>
      <c r="TOF122" s="69"/>
      <c r="TOG122" s="69"/>
      <c r="TOH122" s="69"/>
      <c r="TOI122" s="69"/>
      <c r="TOJ122" s="69"/>
      <c r="TOK122" s="69"/>
      <c r="TOL122" s="69"/>
      <c r="TOM122" s="69"/>
      <c r="TON122" s="69"/>
      <c r="TOO122" s="69"/>
      <c r="TOP122" s="69"/>
      <c r="TOQ122" s="69"/>
      <c r="TOR122" s="69"/>
      <c r="TOS122" s="69"/>
      <c r="TOT122" s="69"/>
      <c r="TOU122" s="69"/>
      <c r="TOV122" s="69"/>
      <c r="TOW122" s="69"/>
      <c r="TOX122" s="69"/>
      <c r="TOY122" s="69"/>
      <c r="TOZ122" s="69"/>
      <c r="TPA122" s="69"/>
      <c r="TPB122" s="69"/>
      <c r="TPC122" s="69"/>
      <c r="TPD122" s="69"/>
      <c r="TPE122" s="69"/>
      <c r="TPF122" s="69"/>
      <c r="TPG122" s="69"/>
      <c r="TPH122" s="69"/>
      <c r="TPI122" s="69"/>
      <c r="TPJ122" s="69"/>
      <c r="TPK122" s="69"/>
      <c r="TPL122" s="69"/>
      <c r="TPM122" s="69"/>
      <c r="TPN122" s="69"/>
      <c r="TPO122" s="69"/>
      <c r="TPP122" s="69"/>
      <c r="TPQ122" s="69"/>
      <c r="TPR122" s="69"/>
      <c r="TPS122" s="69"/>
      <c r="TPT122" s="69"/>
      <c r="TPU122" s="69"/>
      <c r="TPV122" s="69"/>
      <c r="TPW122" s="69"/>
      <c r="TPX122" s="69"/>
      <c r="TPY122" s="69"/>
      <c r="TPZ122" s="69"/>
      <c r="TQA122" s="69"/>
      <c r="TQB122" s="69"/>
      <c r="TQC122" s="69"/>
      <c r="TQD122" s="69"/>
      <c r="TQE122" s="69"/>
      <c r="TQF122" s="69"/>
      <c r="TQG122" s="69"/>
      <c r="TQH122" s="69"/>
      <c r="TQI122" s="69"/>
      <c r="TQJ122" s="69"/>
      <c r="TQK122" s="69"/>
      <c r="TQL122" s="69"/>
      <c r="TQM122" s="69"/>
      <c r="TQN122" s="69"/>
      <c r="TQO122" s="69"/>
      <c r="TQP122" s="69"/>
      <c r="TQQ122" s="69"/>
      <c r="TQR122" s="69"/>
      <c r="TQS122" s="69"/>
      <c r="TQT122" s="69"/>
      <c r="TQU122" s="69"/>
      <c r="TQV122" s="69"/>
      <c r="TQW122" s="69"/>
      <c r="TQX122" s="69"/>
      <c r="TQY122" s="69"/>
      <c r="TQZ122" s="69"/>
      <c r="TRA122" s="69"/>
      <c r="TRB122" s="69"/>
      <c r="TRC122" s="69"/>
      <c r="TRD122" s="69"/>
      <c r="TRE122" s="69"/>
      <c r="TRF122" s="69"/>
      <c r="TRG122" s="69"/>
      <c r="TRH122" s="69"/>
      <c r="TRI122" s="69"/>
      <c r="TRJ122" s="69"/>
      <c r="TRK122" s="69"/>
      <c r="TRL122" s="69"/>
      <c r="TRM122" s="69"/>
      <c r="TRN122" s="69"/>
      <c r="TRO122" s="69"/>
      <c r="TRP122" s="69"/>
      <c r="TRQ122" s="69"/>
      <c r="TRR122" s="69"/>
      <c r="TRS122" s="69"/>
      <c r="TRT122" s="69"/>
      <c r="TRU122" s="69"/>
      <c r="TRV122" s="69"/>
      <c r="TRW122" s="69"/>
      <c r="TRX122" s="69"/>
      <c r="TRY122" s="69"/>
      <c r="TRZ122" s="69"/>
      <c r="TSA122" s="69"/>
      <c r="TSB122" s="69"/>
      <c r="TSC122" s="69"/>
      <c r="TSD122" s="69"/>
      <c r="TSE122" s="69"/>
      <c r="TSF122" s="69"/>
      <c r="TSG122" s="69"/>
      <c r="TSH122" s="69"/>
      <c r="TSI122" s="69"/>
      <c r="TSJ122" s="69"/>
      <c r="TSK122" s="69"/>
      <c r="TSL122" s="69"/>
      <c r="TSM122" s="69"/>
      <c r="TSN122" s="69"/>
      <c r="TSO122" s="69"/>
      <c r="TSP122" s="69"/>
      <c r="TSQ122" s="69"/>
      <c r="TSR122" s="69"/>
      <c r="TSS122" s="69"/>
      <c r="TST122" s="69"/>
      <c r="TSU122" s="69"/>
      <c r="TSV122" s="69"/>
      <c r="TSW122" s="69"/>
      <c r="TSX122" s="69"/>
      <c r="TSY122" s="69"/>
      <c r="TSZ122" s="69"/>
      <c r="TTA122" s="69"/>
      <c r="TTB122" s="69"/>
      <c r="TTC122" s="69"/>
      <c r="TTD122" s="69"/>
      <c r="TTE122" s="69"/>
      <c r="TTF122" s="69"/>
      <c r="TTG122" s="69"/>
      <c r="TTH122" s="69"/>
      <c r="TTI122" s="69"/>
      <c r="TTJ122" s="69"/>
      <c r="TTK122" s="69"/>
      <c r="TTL122" s="69"/>
      <c r="TTM122" s="69"/>
      <c r="TTN122" s="69"/>
      <c r="TTO122" s="69"/>
      <c r="TTP122" s="69"/>
      <c r="TTQ122" s="69"/>
      <c r="TTR122" s="69"/>
      <c r="TTS122" s="69"/>
      <c r="TTT122" s="69"/>
      <c r="TTU122" s="69"/>
      <c r="TTV122" s="69"/>
      <c r="TTW122" s="69"/>
      <c r="TTX122" s="69"/>
      <c r="TTY122" s="69"/>
      <c r="TTZ122" s="69"/>
      <c r="TUA122" s="69"/>
      <c r="TUB122" s="69"/>
      <c r="TUC122" s="69"/>
      <c r="TUD122" s="69"/>
      <c r="TUE122" s="69"/>
      <c r="TUF122" s="69"/>
      <c r="TUG122" s="69"/>
      <c r="TUH122" s="69"/>
      <c r="TUI122" s="69"/>
      <c r="TUJ122" s="69"/>
      <c r="TUK122" s="69"/>
      <c r="TUL122" s="69"/>
      <c r="TUM122" s="69"/>
      <c r="TUN122" s="69"/>
      <c r="TUO122" s="69"/>
      <c r="TUP122" s="69"/>
      <c r="TUQ122" s="69"/>
      <c r="TUR122" s="69"/>
      <c r="TUS122" s="69"/>
      <c r="TUT122" s="69"/>
      <c r="TUU122" s="69"/>
      <c r="TUV122" s="69"/>
      <c r="TUW122" s="69"/>
      <c r="TUX122" s="69"/>
      <c r="TUY122" s="69"/>
      <c r="TUZ122" s="69"/>
      <c r="TVA122" s="69"/>
      <c r="TVB122" s="69"/>
      <c r="TVC122" s="69"/>
      <c r="TVD122" s="69"/>
      <c r="TVE122" s="69"/>
      <c r="TVF122" s="69"/>
      <c r="TVG122" s="69"/>
      <c r="TVH122" s="69"/>
      <c r="TVI122" s="69"/>
      <c r="TVJ122" s="69"/>
      <c r="TVK122" s="69"/>
      <c r="TVL122" s="69"/>
      <c r="TVM122" s="69"/>
      <c r="TVN122" s="69"/>
      <c r="TVO122" s="69"/>
      <c r="TVP122" s="69"/>
      <c r="TVQ122" s="69"/>
      <c r="TVR122" s="69"/>
      <c r="TVS122" s="69"/>
      <c r="TVT122" s="69"/>
      <c r="TVU122" s="69"/>
      <c r="TVV122" s="69"/>
      <c r="TVW122" s="69"/>
      <c r="TVX122" s="69"/>
      <c r="TVY122" s="69"/>
      <c r="TVZ122" s="69"/>
      <c r="TWA122" s="69"/>
      <c r="TWB122" s="69"/>
      <c r="TWC122" s="69"/>
      <c r="TWD122" s="69"/>
      <c r="TWE122" s="69"/>
      <c r="TWF122" s="69"/>
      <c r="TWG122" s="69"/>
      <c r="TWH122" s="69"/>
      <c r="TWI122" s="69"/>
      <c r="TWJ122" s="69"/>
      <c r="TWK122" s="69"/>
      <c r="TWL122" s="69"/>
      <c r="TWM122" s="69"/>
      <c r="TWN122" s="69"/>
      <c r="TWO122" s="69"/>
      <c r="TWP122" s="69"/>
      <c r="TWQ122" s="69"/>
      <c r="TWR122" s="69"/>
      <c r="TWS122" s="69"/>
      <c r="TWT122" s="69"/>
      <c r="TWU122" s="69"/>
      <c r="TWV122" s="69"/>
      <c r="TWW122" s="69"/>
      <c r="TWX122" s="69"/>
      <c r="TWY122" s="69"/>
      <c r="TWZ122" s="69"/>
      <c r="TXA122" s="69"/>
      <c r="TXB122" s="69"/>
      <c r="TXC122" s="69"/>
      <c r="TXD122" s="69"/>
      <c r="TXE122" s="69"/>
      <c r="TXF122" s="69"/>
      <c r="TXG122" s="69"/>
      <c r="TXH122" s="69"/>
      <c r="TXI122" s="69"/>
      <c r="TXJ122" s="69"/>
      <c r="TXK122" s="69"/>
      <c r="TXL122" s="69"/>
      <c r="TXM122" s="69"/>
      <c r="TXN122" s="69"/>
      <c r="TXO122" s="69"/>
      <c r="TXP122" s="69"/>
      <c r="TXQ122" s="69"/>
      <c r="TXR122" s="69"/>
      <c r="TXS122" s="69"/>
      <c r="TXT122" s="69"/>
      <c r="TXU122" s="69"/>
      <c r="TXV122" s="69"/>
      <c r="TXW122" s="69"/>
      <c r="TXX122" s="69"/>
      <c r="TXY122" s="69"/>
      <c r="TXZ122" s="69"/>
      <c r="TYA122" s="69"/>
      <c r="TYB122" s="69"/>
      <c r="TYC122" s="69"/>
      <c r="TYD122" s="69"/>
      <c r="TYE122" s="69"/>
      <c r="TYF122" s="69"/>
      <c r="TYG122" s="69"/>
      <c r="TYH122" s="69"/>
      <c r="TYI122" s="69"/>
      <c r="TYJ122" s="69"/>
      <c r="TYK122" s="69"/>
      <c r="TYL122" s="69"/>
      <c r="TYM122" s="69"/>
      <c r="TYN122" s="69"/>
      <c r="TYO122" s="69"/>
      <c r="TYP122" s="69"/>
      <c r="TYQ122" s="69"/>
      <c r="TYR122" s="69"/>
      <c r="TYS122" s="69"/>
      <c r="TYT122" s="69"/>
      <c r="TYU122" s="69"/>
      <c r="TYV122" s="69"/>
      <c r="TYW122" s="69"/>
      <c r="TYX122" s="69"/>
      <c r="TYY122" s="69"/>
      <c r="TYZ122" s="69"/>
      <c r="TZA122" s="69"/>
      <c r="TZB122" s="69"/>
      <c r="TZC122" s="69"/>
      <c r="TZD122" s="69"/>
      <c r="TZE122" s="69"/>
      <c r="TZF122" s="69"/>
      <c r="TZG122" s="69"/>
      <c r="TZH122" s="69"/>
      <c r="TZI122" s="69"/>
      <c r="TZJ122" s="69"/>
      <c r="TZK122" s="69"/>
      <c r="TZL122" s="69"/>
      <c r="TZM122" s="69"/>
      <c r="TZN122" s="69"/>
      <c r="TZO122" s="69"/>
      <c r="TZP122" s="69"/>
      <c r="TZQ122" s="69"/>
      <c r="TZR122" s="69"/>
      <c r="TZS122" s="69"/>
      <c r="TZT122" s="69"/>
      <c r="TZU122" s="69"/>
      <c r="TZV122" s="69"/>
      <c r="TZW122" s="69"/>
      <c r="TZX122" s="69"/>
      <c r="TZY122" s="69"/>
      <c r="TZZ122" s="69"/>
      <c r="UAA122" s="69"/>
      <c r="UAB122" s="69"/>
      <c r="UAC122" s="69"/>
      <c r="UAD122" s="69"/>
      <c r="UAE122" s="69"/>
      <c r="UAF122" s="69"/>
      <c r="UAG122" s="69"/>
      <c r="UAH122" s="69"/>
      <c r="UAI122" s="69"/>
      <c r="UAJ122" s="69"/>
      <c r="UAK122" s="69"/>
      <c r="UAL122" s="69"/>
      <c r="UAM122" s="69"/>
      <c r="UAN122" s="69"/>
      <c r="UAO122" s="69"/>
      <c r="UAP122" s="69"/>
      <c r="UAQ122" s="69"/>
      <c r="UAR122" s="69"/>
      <c r="UAS122" s="69"/>
      <c r="UAT122" s="69"/>
      <c r="UAU122" s="69"/>
      <c r="UAV122" s="69"/>
      <c r="UAW122" s="69"/>
      <c r="UAX122" s="69"/>
      <c r="UAY122" s="69"/>
      <c r="UAZ122" s="69"/>
      <c r="UBA122" s="69"/>
      <c r="UBB122" s="69"/>
      <c r="UBC122" s="69"/>
      <c r="UBD122" s="69"/>
      <c r="UBE122" s="69"/>
      <c r="UBF122" s="69"/>
      <c r="UBG122" s="69"/>
      <c r="UBH122" s="69"/>
      <c r="UBI122" s="69"/>
      <c r="UBJ122" s="69"/>
      <c r="UBK122" s="69"/>
      <c r="UBL122" s="69"/>
      <c r="UBM122" s="69"/>
      <c r="UBN122" s="69"/>
      <c r="UBO122" s="69"/>
      <c r="UBP122" s="69"/>
      <c r="UBQ122" s="69"/>
      <c r="UBR122" s="69"/>
      <c r="UBS122" s="69"/>
      <c r="UBT122" s="69"/>
      <c r="UBU122" s="69"/>
      <c r="UBV122" s="69"/>
      <c r="UBW122" s="69"/>
      <c r="UBX122" s="69"/>
      <c r="UBY122" s="69"/>
      <c r="UBZ122" s="69"/>
      <c r="UCA122" s="69"/>
      <c r="UCB122" s="69"/>
      <c r="UCC122" s="69"/>
      <c r="UCD122" s="69"/>
      <c r="UCE122" s="69"/>
      <c r="UCF122" s="69"/>
      <c r="UCG122" s="69"/>
      <c r="UCH122" s="69"/>
      <c r="UCI122" s="69"/>
      <c r="UCJ122" s="69"/>
      <c r="UCK122" s="69"/>
      <c r="UCL122" s="69"/>
      <c r="UCM122" s="69"/>
      <c r="UCN122" s="69"/>
      <c r="UCO122" s="69"/>
      <c r="UCP122" s="69"/>
      <c r="UCQ122" s="69"/>
      <c r="UCR122" s="69"/>
      <c r="UCS122" s="69"/>
      <c r="UCT122" s="69"/>
      <c r="UCU122" s="69"/>
      <c r="UCV122" s="69"/>
      <c r="UCW122" s="69"/>
      <c r="UCX122" s="69"/>
      <c r="UCY122" s="69"/>
      <c r="UCZ122" s="69"/>
      <c r="UDA122" s="69"/>
      <c r="UDB122" s="69"/>
      <c r="UDC122" s="69"/>
      <c r="UDD122" s="69"/>
      <c r="UDE122" s="69"/>
      <c r="UDF122" s="69"/>
      <c r="UDG122" s="69"/>
      <c r="UDH122" s="69"/>
      <c r="UDI122" s="69"/>
      <c r="UDJ122" s="69"/>
      <c r="UDK122" s="69"/>
      <c r="UDL122" s="69"/>
      <c r="UDM122" s="69"/>
      <c r="UDN122" s="69"/>
      <c r="UDO122" s="69"/>
      <c r="UDP122" s="69"/>
      <c r="UDQ122" s="69"/>
      <c r="UDR122" s="69"/>
      <c r="UDS122" s="69"/>
      <c r="UDT122" s="69"/>
      <c r="UDU122" s="69"/>
      <c r="UDV122" s="69"/>
      <c r="UDW122" s="69"/>
      <c r="UDX122" s="69"/>
      <c r="UDY122" s="69"/>
      <c r="UDZ122" s="69"/>
      <c r="UEA122" s="69"/>
      <c r="UEB122" s="69"/>
      <c r="UEC122" s="69"/>
      <c r="UED122" s="69"/>
      <c r="UEE122" s="69"/>
      <c r="UEF122" s="69"/>
      <c r="UEG122" s="69"/>
      <c r="UEH122" s="69"/>
      <c r="UEI122" s="69"/>
      <c r="UEJ122" s="69"/>
      <c r="UEK122" s="69"/>
      <c r="UEL122" s="69"/>
      <c r="UEM122" s="69"/>
      <c r="UEN122" s="69"/>
      <c r="UEO122" s="69"/>
      <c r="UEP122" s="69"/>
      <c r="UEQ122" s="69"/>
      <c r="UER122" s="69"/>
      <c r="UES122" s="69"/>
      <c r="UET122" s="69"/>
      <c r="UEU122" s="69"/>
      <c r="UEV122" s="69"/>
      <c r="UEW122" s="69"/>
      <c r="UEX122" s="69"/>
      <c r="UEY122" s="69"/>
      <c r="UEZ122" s="69"/>
      <c r="UFA122" s="69"/>
      <c r="UFB122" s="69"/>
      <c r="UFC122" s="69"/>
      <c r="UFD122" s="69"/>
      <c r="UFE122" s="69"/>
      <c r="UFF122" s="69"/>
      <c r="UFG122" s="69"/>
      <c r="UFH122" s="69"/>
      <c r="UFI122" s="69"/>
      <c r="UFJ122" s="69"/>
      <c r="UFK122" s="69"/>
      <c r="UFL122" s="69"/>
      <c r="UFM122" s="69"/>
      <c r="UFN122" s="69"/>
      <c r="UFO122" s="69"/>
      <c r="UFP122" s="69"/>
      <c r="UFQ122" s="69"/>
      <c r="UFR122" s="69"/>
      <c r="UFS122" s="69"/>
      <c r="UFT122" s="69"/>
      <c r="UFU122" s="69"/>
      <c r="UFV122" s="69"/>
      <c r="UFW122" s="69"/>
      <c r="UFX122" s="69"/>
      <c r="UFY122" s="69"/>
      <c r="UFZ122" s="69"/>
      <c r="UGA122" s="69"/>
      <c r="UGB122" s="69"/>
      <c r="UGC122" s="69"/>
      <c r="UGD122" s="69"/>
      <c r="UGE122" s="69"/>
      <c r="UGF122" s="69"/>
      <c r="UGG122" s="69"/>
      <c r="UGH122" s="69"/>
      <c r="UGI122" s="69"/>
      <c r="UGJ122" s="69"/>
      <c r="UGK122" s="69"/>
      <c r="UGL122" s="69"/>
      <c r="UGM122" s="69"/>
      <c r="UGN122" s="69"/>
      <c r="UGO122" s="69"/>
      <c r="UGP122" s="69"/>
      <c r="UGQ122" s="69"/>
      <c r="UGR122" s="69"/>
      <c r="UGS122" s="69"/>
      <c r="UGT122" s="69"/>
      <c r="UGU122" s="69"/>
      <c r="UGV122" s="69"/>
      <c r="UGW122" s="69"/>
      <c r="UGX122" s="69"/>
      <c r="UGY122" s="69"/>
      <c r="UGZ122" s="69"/>
      <c r="UHA122" s="69"/>
      <c r="UHB122" s="69"/>
      <c r="UHC122" s="69"/>
      <c r="UHD122" s="69"/>
      <c r="UHE122" s="69"/>
      <c r="UHF122" s="69"/>
      <c r="UHG122" s="69"/>
      <c r="UHH122" s="69"/>
      <c r="UHI122" s="69"/>
      <c r="UHJ122" s="69"/>
      <c r="UHK122" s="69"/>
      <c r="UHL122" s="69"/>
      <c r="UHM122" s="69"/>
      <c r="UHN122" s="69"/>
      <c r="UHO122" s="69"/>
      <c r="UHP122" s="69"/>
      <c r="UHQ122" s="69"/>
      <c r="UHR122" s="69"/>
      <c r="UHS122" s="69"/>
      <c r="UHT122" s="69"/>
      <c r="UHU122" s="69"/>
      <c r="UHV122" s="69"/>
      <c r="UHW122" s="69"/>
      <c r="UHX122" s="69"/>
      <c r="UHY122" s="69"/>
      <c r="UHZ122" s="69"/>
      <c r="UIA122" s="69"/>
      <c r="UIB122" s="69"/>
      <c r="UIC122" s="69"/>
      <c r="UID122" s="69"/>
      <c r="UIE122" s="69"/>
      <c r="UIF122" s="69"/>
      <c r="UIG122" s="69"/>
      <c r="UIH122" s="69"/>
      <c r="UII122" s="69"/>
      <c r="UIJ122" s="69"/>
      <c r="UIK122" s="69"/>
      <c r="UIL122" s="69"/>
      <c r="UIM122" s="69"/>
      <c r="UIN122" s="69"/>
      <c r="UIO122" s="69"/>
      <c r="UIP122" s="69"/>
      <c r="UIQ122" s="69"/>
      <c r="UIR122" s="69"/>
      <c r="UIS122" s="69"/>
      <c r="UIT122" s="69"/>
      <c r="UIU122" s="69"/>
      <c r="UIV122" s="69"/>
      <c r="UIW122" s="69"/>
      <c r="UIX122" s="69"/>
      <c r="UIY122" s="69"/>
      <c r="UIZ122" s="69"/>
      <c r="UJA122" s="69"/>
      <c r="UJB122" s="69"/>
      <c r="UJC122" s="69"/>
      <c r="UJD122" s="69"/>
      <c r="UJE122" s="69"/>
      <c r="UJF122" s="69"/>
      <c r="UJG122" s="69"/>
      <c r="UJH122" s="69"/>
      <c r="UJI122" s="69"/>
      <c r="UJJ122" s="69"/>
      <c r="UJK122" s="69"/>
      <c r="UJL122" s="69"/>
      <c r="UJM122" s="69"/>
      <c r="UJN122" s="69"/>
      <c r="UJO122" s="69"/>
      <c r="UJP122" s="69"/>
      <c r="UJQ122" s="69"/>
      <c r="UJR122" s="69"/>
      <c r="UJS122" s="69"/>
      <c r="UJT122" s="69"/>
      <c r="UJU122" s="69"/>
      <c r="UJV122" s="69"/>
      <c r="UJW122" s="69"/>
      <c r="UJX122" s="69"/>
      <c r="UJY122" s="69"/>
      <c r="UJZ122" s="69"/>
      <c r="UKA122" s="69"/>
      <c r="UKB122" s="69"/>
      <c r="UKC122" s="69"/>
      <c r="UKD122" s="69"/>
      <c r="UKE122" s="69"/>
      <c r="UKF122" s="69"/>
      <c r="UKG122" s="69"/>
      <c r="UKH122" s="69"/>
      <c r="UKI122" s="69"/>
      <c r="UKJ122" s="69"/>
      <c r="UKK122" s="69"/>
      <c r="UKL122" s="69"/>
      <c r="UKM122" s="69"/>
      <c r="UKN122" s="69"/>
      <c r="UKO122" s="69"/>
      <c r="UKP122" s="69"/>
      <c r="UKQ122" s="69"/>
      <c r="UKR122" s="69"/>
      <c r="UKS122" s="69"/>
      <c r="UKT122" s="69"/>
      <c r="UKU122" s="69"/>
      <c r="UKV122" s="69"/>
      <c r="UKW122" s="69"/>
      <c r="UKX122" s="69"/>
      <c r="UKY122" s="69"/>
      <c r="UKZ122" s="69"/>
      <c r="ULA122" s="69"/>
      <c r="ULB122" s="69"/>
      <c r="ULC122" s="69"/>
      <c r="ULD122" s="69"/>
      <c r="ULE122" s="69"/>
      <c r="ULF122" s="69"/>
      <c r="ULG122" s="69"/>
      <c r="ULH122" s="69"/>
      <c r="ULI122" s="69"/>
      <c r="ULJ122" s="69"/>
      <c r="ULK122" s="69"/>
      <c r="ULL122" s="69"/>
      <c r="ULM122" s="69"/>
      <c r="ULN122" s="69"/>
      <c r="ULO122" s="69"/>
      <c r="ULP122" s="69"/>
      <c r="ULQ122" s="69"/>
      <c r="ULR122" s="69"/>
      <c r="ULS122" s="69"/>
      <c r="ULT122" s="69"/>
      <c r="ULU122" s="69"/>
      <c r="ULV122" s="69"/>
      <c r="ULW122" s="69"/>
      <c r="ULX122" s="69"/>
      <c r="ULY122" s="69"/>
      <c r="ULZ122" s="69"/>
      <c r="UMA122" s="69"/>
      <c r="UMB122" s="69"/>
      <c r="UMC122" s="69"/>
      <c r="UMD122" s="69"/>
      <c r="UME122" s="69"/>
      <c r="UMF122" s="69"/>
      <c r="UMG122" s="69"/>
      <c r="UMH122" s="69"/>
      <c r="UMI122" s="69"/>
      <c r="UMJ122" s="69"/>
      <c r="UMK122" s="69"/>
      <c r="UML122" s="69"/>
      <c r="UMM122" s="69"/>
      <c r="UMN122" s="69"/>
      <c r="UMO122" s="69"/>
      <c r="UMP122" s="69"/>
      <c r="UMQ122" s="69"/>
      <c r="UMR122" s="69"/>
      <c r="UMS122" s="69"/>
      <c r="UMT122" s="69"/>
      <c r="UMU122" s="69"/>
      <c r="UMV122" s="69"/>
      <c r="UMW122" s="69"/>
      <c r="UMX122" s="69"/>
      <c r="UMY122" s="69"/>
      <c r="UMZ122" s="69"/>
      <c r="UNA122" s="69"/>
      <c r="UNB122" s="69"/>
      <c r="UNC122" s="69"/>
      <c r="UND122" s="69"/>
      <c r="UNE122" s="69"/>
      <c r="UNF122" s="69"/>
      <c r="UNG122" s="69"/>
      <c r="UNH122" s="69"/>
      <c r="UNI122" s="69"/>
      <c r="UNJ122" s="69"/>
      <c r="UNK122" s="69"/>
      <c r="UNL122" s="69"/>
      <c r="UNM122" s="69"/>
      <c r="UNN122" s="69"/>
      <c r="UNO122" s="69"/>
      <c r="UNP122" s="69"/>
      <c r="UNQ122" s="69"/>
      <c r="UNR122" s="69"/>
      <c r="UNS122" s="69"/>
      <c r="UNT122" s="69"/>
      <c r="UNU122" s="69"/>
      <c r="UNV122" s="69"/>
      <c r="UNW122" s="69"/>
      <c r="UNX122" s="69"/>
      <c r="UNY122" s="69"/>
      <c r="UNZ122" s="69"/>
      <c r="UOA122" s="69"/>
      <c r="UOB122" s="69"/>
      <c r="UOC122" s="69"/>
      <c r="UOD122" s="69"/>
      <c r="UOE122" s="69"/>
      <c r="UOF122" s="69"/>
      <c r="UOG122" s="69"/>
      <c r="UOH122" s="69"/>
      <c r="UOI122" s="69"/>
      <c r="UOJ122" s="69"/>
      <c r="UOK122" s="69"/>
      <c r="UOL122" s="69"/>
      <c r="UOM122" s="69"/>
      <c r="UON122" s="69"/>
      <c r="UOO122" s="69"/>
      <c r="UOP122" s="69"/>
      <c r="UOQ122" s="69"/>
      <c r="UOR122" s="69"/>
      <c r="UOS122" s="69"/>
      <c r="UOT122" s="69"/>
      <c r="UOU122" s="69"/>
      <c r="UOV122" s="69"/>
      <c r="UOW122" s="69"/>
      <c r="UOX122" s="69"/>
      <c r="UOY122" s="69"/>
      <c r="UOZ122" s="69"/>
      <c r="UPA122" s="69"/>
      <c r="UPB122" s="69"/>
      <c r="UPC122" s="69"/>
      <c r="UPD122" s="69"/>
      <c r="UPE122" s="69"/>
      <c r="UPF122" s="69"/>
      <c r="UPG122" s="69"/>
      <c r="UPH122" s="69"/>
      <c r="UPI122" s="69"/>
      <c r="UPJ122" s="69"/>
      <c r="UPK122" s="69"/>
      <c r="UPL122" s="69"/>
      <c r="UPM122" s="69"/>
      <c r="UPN122" s="69"/>
      <c r="UPO122" s="69"/>
      <c r="UPP122" s="69"/>
      <c r="UPQ122" s="69"/>
      <c r="UPR122" s="69"/>
      <c r="UPS122" s="69"/>
      <c r="UPT122" s="69"/>
      <c r="UPU122" s="69"/>
      <c r="UPV122" s="69"/>
      <c r="UPW122" s="69"/>
      <c r="UPX122" s="69"/>
      <c r="UPY122" s="69"/>
      <c r="UPZ122" s="69"/>
      <c r="UQA122" s="69"/>
      <c r="UQB122" s="69"/>
      <c r="UQC122" s="69"/>
      <c r="UQD122" s="69"/>
      <c r="UQE122" s="69"/>
      <c r="UQF122" s="69"/>
      <c r="UQG122" s="69"/>
      <c r="UQH122" s="69"/>
      <c r="UQI122" s="69"/>
      <c r="UQJ122" s="69"/>
      <c r="UQK122" s="69"/>
      <c r="UQL122" s="69"/>
      <c r="UQM122" s="69"/>
      <c r="UQN122" s="69"/>
      <c r="UQO122" s="69"/>
      <c r="UQP122" s="69"/>
      <c r="UQQ122" s="69"/>
      <c r="UQR122" s="69"/>
      <c r="UQS122" s="69"/>
      <c r="UQT122" s="69"/>
      <c r="UQU122" s="69"/>
      <c r="UQV122" s="69"/>
      <c r="UQW122" s="69"/>
      <c r="UQX122" s="69"/>
      <c r="UQY122" s="69"/>
      <c r="UQZ122" s="69"/>
      <c r="URA122" s="69"/>
      <c r="URB122" s="69"/>
      <c r="URC122" s="69"/>
      <c r="URD122" s="69"/>
      <c r="URE122" s="69"/>
      <c r="URF122" s="69"/>
      <c r="URG122" s="69"/>
      <c r="URH122" s="69"/>
      <c r="URI122" s="69"/>
      <c r="URJ122" s="69"/>
      <c r="URK122" s="69"/>
      <c r="URL122" s="69"/>
      <c r="URM122" s="69"/>
      <c r="URN122" s="69"/>
      <c r="URO122" s="69"/>
      <c r="URP122" s="69"/>
      <c r="URQ122" s="69"/>
      <c r="URR122" s="69"/>
      <c r="URS122" s="69"/>
      <c r="URT122" s="69"/>
      <c r="URU122" s="69"/>
      <c r="URV122" s="69"/>
      <c r="URW122" s="69"/>
      <c r="URX122" s="69"/>
      <c r="URY122" s="69"/>
      <c r="URZ122" s="69"/>
      <c r="USA122" s="69"/>
      <c r="USB122" s="69"/>
      <c r="USC122" s="69"/>
      <c r="USD122" s="69"/>
      <c r="USE122" s="69"/>
      <c r="USF122" s="69"/>
      <c r="USG122" s="69"/>
      <c r="USH122" s="69"/>
      <c r="USI122" s="69"/>
      <c r="USJ122" s="69"/>
      <c r="USK122" s="69"/>
      <c r="USL122" s="69"/>
      <c r="USM122" s="69"/>
      <c r="USN122" s="69"/>
      <c r="USO122" s="69"/>
      <c r="USP122" s="69"/>
      <c r="USQ122" s="69"/>
      <c r="USR122" s="69"/>
      <c r="USS122" s="69"/>
      <c r="UST122" s="69"/>
      <c r="USU122" s="69"/>
      <c r="USV122" s="69"/>
      <c r="USW122" s="69"/>
      <c r="USX122" s="69"/>
      <c r="USY122" s="69"/>
      <c r="USZ122" s="69"/>
      <c r="UTA122" s="69"/>
      <c r="UTB122" s="69"/>
      <c r="UTC122" s="69"/>
      <c r="UTD122" s="69"/>
      <c r="UTE122" s="69"/>
      <c r="UTF122" s="69"/>
      <c r="UTG122" s="69"/>
      <c r="UTH122" s="69"/>
      <c r="UTI122" s="69"/>
      <c r="UTJ122" s="69"/>
      <c r="UTK122" s="69"/>
      <c r="UTL122" s="69"/>
      <c r="UTM122" s="69"/>
      <c r="UTN122" s="69"/>
      <c r="UTO122" s="69"/>
      <c r="UTP122" s="69"/>
      <c r="UTQ122" s="69"/>
      <c r="UTR122" s="69"/>
      <c r="UTS122" s="69"/>
      <c r="UTT122" s="69"/>
      <c r="UTU122" s="69"/>
      <c r="UTV122" s="69"/>
      <c r="UTW122" s="69"/>
      <c r="UTX122" s="69"/>
      <c r="UTY122" s="69"/>
      <c r="UTZ122" s="69"/>
      <c r="UUA122" s="69"/>
      <c r="UUB122" s="69"/>
      <c r="UUC122" s="69"/>
      <c r="UUD122" s="69"/>
      <c r="UUE122" s="69"/>
      <c r="UUF122" s="69"/>
      <c r="UUG122" s="69"/>
      <c r="UUH122" s="69"/>
      <c r="UUI122" s="69"/>
      <c r="UUJ122" s="69"/>
      <c r="UUK122" s="69"/>
      <c r="UUL122" s="69"/>
      <c r="UUM122" s="69"/>
      <c r="UUN122" s="69"/>
      <c r="UUO122" s="69"/>
      <c r="UUP122" s="69"/>
      <c r="UUQ122" s="69"/>
      <c r="UUR122" s="69"/>
      <c r="UUS122" s="69"/>
      <c r="UUT122" s="69"/>
      <c r="UUU122" s="69"/>
      <c r="UUV122" s="69"/>
      <c r="UUW122" s="69"/>
      <c r="UUX122" s="69"/>
      <c r="UUY122" s="69"/>
      <c r="UUZ122" s="69"/>
      <c r="UVA122" s="69"/>
      <c r="UVB122" s="69"/>
      <c r="UVC122" s="69"/>
      <c r="UVD122" s="69"/>
      <c r="UVE122" s="69"/>
      <c r="UVF122" s="69"/>
      <c r="UVG122" s="69"/>
      <c r="UVH122" s="69"/>
      <c r="UVI122" s="69"/>
      <c r="UVJ122" s="69"/>
      <c r="UVK122" s="69"/>
      <c r="UVL122" s="69"/>
      <c r="UVM122" s="69"/>
      <c r="UVN122" s="69"/>
      <c r="UVO122" s="69"/>
      <c r="UVP122" s="69"/>
      <c r="UVQ122" s="69"/>
      <c r="UVR122" s="69"/>
      <c r="UVS122" s="69"/>
      <c r="UVT122" s="69"/>
      <c r="UVU122" s="69"/>
      <c r="UVV122" s="69"/>
      <c r="UVW122" s="69"/>
      <c r="UVX122" s="69"/>
      <c r="UVY122" s="69"/>
      <c r="UVZ122" s="69"/>
      <c r="UWA122" s="69"/>
      <c r="UWB122" s="69"/>
      <c r="UWC122" s="69"/>
      <c r="UWD122" s="69"/>
      <c r="UWE122" s="69"/>
      <c r="UWF122" s="69"/>
      <c r="UWG122" s="69"/>
      <c r="UWH122" s="69"/>
      <c r="UWI122" s="69"/>
      <c r="UWJ122" s="69"/>
      <c r="UWK122" s="69"/>
      <c r="UWL122" s="69"/>
      <c r="UWM122" s="69"/>
      <c r="UWN122" s="69"/>
      <c r="UWO122" s="69"/>
      <c r="UWP122" s="69"/>
      <c r="UWQ122" s="69"/>
      <c r="UWR122" s="69"/>
      <c r="UWS122" s="69"/>
      <c r="UWT122" s="69"/>
      <c r="UWU122" s="69"/>
      <c r="UWV122" s="69"/>
      <c r="UWW122" s="69"/>
      <c r="UWX122" s="69"/>
      <c r="UWY122" s="69"/>
      <c r="UWZ122" s="69"/>
      <c r="UXA122" s="69"/>
      <c r="UXB122" s="69"/>
      <c r="UXC122" s="69"/>
      <c r="UXD122" s="69"/>
      <c r="UXE122" s="69"/>
      <c r="UXF122" s="69"/>
      <c r="UXG122" s="69"/>
      <c r="UXH122" s="69"/>
      <c r="UXI122" s="69"/>
      <c r="UXJ122" s="69"/>
      <c r="UXK122" s="69"/>
      <c r="UXL122" s="69"/>
      <c r="UXM122" s="69"/>
      <c r="UXN122" s="69"/>
      <c r="UXO122" s="69"/>
      <c r="UXP122" s="69"/>
      <c r="UXQ122" s="69"/>
      <c r="UXR122" s="69"/>
      <c r="UXS122" s="69"/>
      <c r="UXT122" s="69"/>
      <c r="UXU122" s="69"/>
      <c r="UXV122" s="69"/>
      <c r="UXW122" s="69"/>
      <c r="UXX122" s="69"/>
      <c r="UXY122" s="69"/>
      <c r="UXZ122" s="69"/>
      <c r="UYA122" s="69"/>
      <c r="UYB122" s="69"/>
      <c r="UYC122" s="69"/>
      <c r="UYD122" s="69"/>
      <c r="UYE122" s="69"/>
      <c r="UYF122" s="69"/>
      <c r="UYG122" s="69"/>
      <c r="UYH122" s="69"/>
      <c r="UYI122" s="69"/>
      <c r="UYJ122" s="69"/>
      <c r="UYK122" s="69"/>
      <c r="UYL122" s="69"/>
      <c r="UYM122" s="69"/>
      <c r="UYN122" s="69"/>
      <c r="UYO122" s="69"/>
      <c r="UYP122" s="69"/>
      <c r="UYQ122" s="69"/>
      <c r="UYR122" s="69"/>
      <c r="UYS122" s="69"/>
      <c r="UYT122" s="69"/>
      <c r="UYU122" s="69"/>
      <c r="UYV122" s="69"/>
      <c r="UYW122" s="69"/>
      <c r="UYX122" s="69"/>
      <c r="UYY122" s="69"/>
      <c r="UYZ122" s="69"/>
      <c r="UZA122" s="69"/>
      <c r="UZB122" s="69"/>
      <c r="UZC122" s="69"/>
      <c r="UZD122" s="69"/>
      <c r="UZE122" s="69"/>
      <c r="UZF122" s="69"/>
      <c r="UZG122" s="69"/>
      <c r="UZH122" s="69"/>
      <c r="UZI122" s="69"/>
      <c r="UZJ122" s="69"/>
      <c r="UZK122" s="69"/>
      <c r="UZL122" s="69"/>
      <c r="UZM122" s="69"/>
      <c r="UZN122" s="69"/>
      <c r="UZO122" s="69"/>
      <c r="UZP122" s="69"/>
      <c r="UZQ122" s="69"/>
      <c r="UZR122" s="69"/>
      <c r="UZS122" s="69"/>
      <c r="UZT122" s="69"/>
      <c r="UZU122" s="69"/>
      <c r="UZV122" s="69"/>
      <c r="UZW122" s="69"/>
      <c r="UZX122" s="69"/>
      <c r="UZY122" s="69"/>
      <c r="UZZ122" s="69"/>
      <c r="VAA122" s="69"/>
      <c r="VAB122" s="69"/>
      <c r="VAC122" s="69"/>
      <c r="VAD122" s="69"/>
      <c r="VAE122" s="69"/>
      <c r="VAF122" s="69"/>
      <c r="VAG122" s="69"/>
      <c r="VAH122" s="69"/>
      <c r="VAI122" s="69"/>
      <c r="VAJ122" s="69"/>
      <c r="VAK122" s="69"/>
      <c r="VAL122" s="69"/>
      <c r="VAM122" s="69"/>
      <c r="VAN122" s="69"/>
      <c r="VAO122" s="69"/>
      <c r="VAP122" s="69"/>
      <c r="VAQ122" s="69"/>
      <c r="VAR122" s="69"/>
      <c r="VAS122" s="69"/>
      <c r="VAT122" s="69"/>
      <c r="VAU122" s="69"/>
      <c r="VAV122" s="69"/>
      <c r="VAW122" s="69"/>
      <c r="VAX122" s="69"/>
      <c r="VAY122" s="69"/>
      <c r="VAZ122" s="69"/>
      <c r="VBA122" s="69"/>
      <c r="VBB122" s="69"/>
      <c r="VBC122" s="69"/>
      <c r="VBD122" s="69"/>
      <c r="VBE122" s="69"/>
      <c r="VBF122" s="69"/>
      <c r="VBG122" s="69"/>
      <c r="VBH122" s="69"/>
      <c r="VBI122" s="69"/>
      <c r="VBJ122" s="69"/>
      <c r="VBK122" s="69"/>
      <c r="VBL122" s="69"/>
      <c r="VBM122" s="69"/>
      <c r="VBN122" s="69"/>
      <c r="VBO122" s="69"/>
      <c r="VBP122" s="69"/>
      <c r="VBQ122" s="69"/>
      <c r="VBR122" s="69"/>
      <c r="VBS122" s="69"/>
      <c r="VBT122" s="69"/>
      <c r="VBU122" s="69"/>
      <c r="VBV122" s="69"/>
      <c r="VBW122" s="69"/>
      <c r="VBX122" s="69"/>
      <c r="VBY122" s="69"/>
      <c r="VBZ122" s="69"/>
      <c r="VCA122" s="69"/>
      <c r="VCB122" s="69"/>
      <c r="VCC122" s="69"/>
      <c r="VCD122" s="69"/>
      <c r="VCE122" s="69"/>
      <c r="VCF122" s="69"/>
      <c r="VCG122" s="69"/>
      <c r="VCH122" s="69"/>
      <c r="VCI122" s="69"/>
      <c r="VCJ122" s="69"/>
      <c r="VCK122" s="69"/>
      <c r="VCL122" s="69"/>
      <c r="VCM122" s="69"/>
      <c r="VCN122" s="69"/>
      <c r="VCO122" s="69"/>
      <c r="VCP122" s="69"/>
      <c r="VCQ122" s="69"/>
      <c r="VCR122" s="69"/>
      <c r="VCS122" s="69"/>
      <c r="VCT122" s="69"/>
      <c r="VCU122" s="69"/>
      <c r="VCV122" s="69"/>
      <c r="VCW122" s="69"/>
      <c r="VCX122" s="69"/>
      <c r="VCY122" s="69"/>
      <c r="VCZ122" s="69"/>
      <c r="VDA122" s="69"/>
      <c r="VDB122" s="69"/>
      <c r="VDC122" s="69"/>
      <c r="VDD122" s="69"/>
      <c r="VDE122" s="69"/>
      <c r="VDF122" s="69"/>
      <c r="VDG122" s="69"/>
      <c r="VDH122" s="69"/>
      <c r="VDI122" s="69"/>
      <c r="VDJ122" s="69"/>
      <c r="VDK122" s="69"/>
      <c r="VDL122" s="69"/>
      <c r="VDM122" s="69"/>
      <c r="VDN122" s="69"/>
      <c r="VDO122" s="69"/>
      <c r="VDP122" s="69"/>
      <c r="VDQ122" s="69"/>
      <c r="VDR122" s="69"/>
      <c r="VDS122" s="69"/>
      <c r="VDT122" s="69"/>
      <c r="VDU122" s="69"/>
      <c r="VDV122" s="69"/>
      <c r="VDW122" s="69"/>
      <c r="VDX122" s="69"/>
      <c r="VDY122" s="69"/>
      <c r="VDZ122" s="69"/>
      <c r="VEA122" s="69"/>
      <c r="VEB122" s="69"/>
      <c r="VEC122" s="69"/>
      <c r="VED122" s="69"/>
      <c r="VEE122" s="69"/>
      <c r="VEF122" s="69"/>
      <c r="VEG122" s="69"/>
      <c r="VEH122" s="69"/>
      <c r="VEI122" s="69"/>
      <c r="VEJ122" s="69"/>
      <c r="VEK122" s="69"/>
      <c r="VEL122" s="69"/>
      <c r="VEM122" s="69"/>
      <c r="VEN122" s="69"/>
      <c r="VEO122" s="69"/>
      <c r="VEP122" s="69"/>
      <c r="VEQ122" s="69"/>
      <c r="VER122" s="69"/>
      <c r="VES122" s="69"/>
      <c r="VET122" s="69"/>
      <c r="VEU122" s="69"/>
      <c r="VEV122" s="69"/>
      <c r="VEW122" s="69"/>
      <c r="VEX122" s="69"/>
      <c r="VEY122" s="69"/>
      <c r="VEZ122" s="69"/>
      <c r="VFA122" s="69"/>
      <c r="VFB122" s="69"/>
      <c r="VFC122" s="69"/>
      <c r="VFD122" s="69"/>
      <c r="VFE122" s="69"/>
      <c r="VFF122" s="69"/>
      <c r="VFG122" s="69"/>
      <c r="VFH122" s="69"/>
      <c r="VFI122" s="69"/>
      <c r="VFJ122" s="69"/>
      <c r="VFK122" s="69"/>
      <c r="VFL122" s="69"/>
      <c r="VFM122" s="69"/>
      <c r="VFN122" s="69"/>
      <c r="VFO122" s="69"/>
      <c r="VFP122" s="69"/>
      <c r="VFQ122" s="69"/>
      <c r="VFR122" s="69"/>
      <c r="VFS122" s="69"/>
      <c r="VFT122" s="69"/>
      <c r="VFU122" s="69"/>
      <c r="VFV122" s="69"/>
      <c r="VFW122" s="69"/>
      <c r="VFX122" s="69"/>
      <c r="VFY122" s="69"/>
      <c r="VFZ122" s="69"/>
      <c r="VGA122" s="69"/>
      <c r="VGB122" s="69"/>
      <c r="VGC122" s="69"/>
      <c r="VGD122" s="69"/>
      <c r="VGE122" s="69"/>
      <c r="VGF122" s="69"/>
      <c r="VGG122" s="69"/>
      <c r="VGH122" s="69"/>
      <c r="VGI122" s="69"/>
      <c r="VGJ122" s="69"/>
      <c r="VGK122" s="69"/>
      <c r="VGL122" s="69"/>
      <c r="VGM122" s="69"/>
      <c r="VGN122" s="69"/>
      <c r="VGO122" s="69"/>
      <c r="VGP122" s="69"/>
      <c r="VGQ122" s="69"/>
      <c r="VGR122" s="69"/>
      <c r="VGS122" s="69"/>
      <c r="VGT122" s="69"/>
      <c r="VGU122" s="69"/>
      <c r="VGV122" s="69"/>
      <c r="VGW122" s="69"/>
      <c r="VGX122" s="69"/>
      <c r="VGY122" s="69"/>
      <c r="VGZ122" s="69"/>
      <c r="VHA122" s="69"/>
      <c r="VHB122" s="69"/>
      <c r="VHC122" s="69"/>
      <c r="VHD122" s="69"/>
      <c r="VHE122" s="69"/>
      <c r="VHF122" s="69"/>
      <c r="VHG122" s="69"/>
      <c r="VHH122" s="69"/>
      <c r="VHI122" s="69"/>
      <c r="VHJ122" s="69"/>
      <c r="VHK122" s="69"/>
      <c r="VHL122" s="69"/>
      <c r="VHM122" s="69"/>
      <c r="VHN122" s="69"/>
      <c r="VHO122" s="69"/>
      <c r="VHP122" s="69"/>
      <c r="VHQ122" s="69"/>
      <c r="VHR122" s="69"/>
      <c r="VHS122" s="69"/>
      <c r="VHT122" s="69"/>
      <c r="VHU122" s="69"/>
      <c r="VHV122" s="69"/>
      <c r="VHW122" s="69"/>
      <c r="VHX122" s="69"/>
      <c r="VHY122" s="69"/>
      <c r="VHZ122" s="69"/>
      <c r="VIA122" s="69"/>
      <c r="VIB122" s="69"/>
      <c r="VIC122" s="69"/>
      <c r="VID122" s="69"/>
      <c r="VIE122" s="69"/>
      <c r="VIF122" s="69"/>
      <c r="VIG122" s="69"/>
      <c r="VIH122" s="69"/>
      <c r="VII122" s="69"/>
      <c r="VIJ122" s="69"/>
      <c r="VIK122" s="69"/>
      <c r="VIL122" s="69"/>
      <c r="VIM122" s="69"/>
      <c r="VIN122" s="69"/>
      <c r="VIO122" s="69"/>
      <c r="VIP122" s="69"/>
      <c r="VIQ122" s="69"/>
      <c r="VIR122" s="69"/>
      <c r="VIS122" s="69"/>
      <c r="VIT122" s="69"/>
      <c r="VIU122" s="69"/>
      <c r="VIV122" s="69"/>
      <c r="VIW122" s="69"/>
      <c r="VIX122" s="69"/>
      <c r="VIY122" s="69"/>
      <c r="VIZ122" s="69"/>
      <c r="VJA122" s="69"/>
      <c r="VJB122" s="69"/>
      <c r="VJC122" s="69"/>
      <c r="VJD122" s="69"/>
      <c r="VJE122" s="69"/>
      <c r="VJF122" s="69"/>
      <c r="VJG122" s="69"/>
      <c r="VJH122" s="69"/>
      <c r="VJI122" s="69"/>
      <c r="VJJ122" s="69"/>
      <c r="VJK122" s="69"/>
      <c r="VJL122" s="69"/>
      <c r="VJM122" s="69"/>
      <c r="VJN122" s="69"/>
      <c r="VJO122" s="69"/>
      <c r="VJP122" s="69"/>
      <c r="VJQ122" s="69"/>
      <c r="VJR122" s="69"/>
      <c r="VJS122" s="69"/>
      <c r="VJT122" s="69"/>
      <c r="VJU122" s="69"/>
      <c r="VJV122" s="69"/>
      <c r="VJW122" s="69"/>
      <c r="VJX122" s="69"/>
      <c r="VJY122" s="69"/>
      <c r="VJZ122" s="69"/>
      <c r="VKA122" s="69"/>
      <c r="VKB122" s="69"/>
      <c r="VKC122" s="69"/>
      <c r="VKD122" s="69"/>
      <c r="VKE122" s="69"/>
      <c r="VKF122" s="69"/>
      <c r="VKG122" s="69"/>
      <c r="VKH122" s="69"/>
      <c r="VKI122" s="69"/>
      <c r="VKJ122" s="69"/>
      <c r="VKK122" s="69"/>
      <c r="VKL122" s="69"/>
      <c r="VKM122" s="69"/>
      <c r="VKN122" s="69"/>
      <c r="VKO122" s="69"/>
      <c r="VKP122" s="69"/>
      <c r="VKQ122" s="69"/>
      <c r="VKR122" s="69"/>
      <c r="VKS122" s="69"/>
      <c r="VKT122" s="69"/>
      <c r="VKU122" s="69"/>
      <c r="VKV122" s="69"/>
      <c r="VKW122" s="69"/>
      <c r="VKX122" s="69"/>
      <c r="VKY122" s="69"/>
      <c r="VKZ122" s="69"/>
      <c r="VLA122" s="69"/>
      <c r="VLB122" s="69"/>
      <c r="VLC122" s="69"/>
      <c r="VLD122" s="69"/>
      <c r="VLE122" s="69"/>
      <c r="VLF122" s="69"/>
      <c r="VLG122" s="69"/>
      <c r="VLH122" s="69"/>
      <c r="VLI122" s="69"/>
      <c r="VLJ122" s="69"/>
      <c r="VLK122" s="69"/>
      <c r="VLL122" s="69"/>
      <c r="VLM122" s="69"/>
      <c r="VLN122" s="69"/>
      <c r="VLO122" s="69"/>
      <c r="VLP122" s="69"/>
      <c r="VLQ122" s="69"/>
      <c r="VLR122" s="69"/>
      <c r="VLS122" s="69"/>
      <c r="VLT122" s="69"/>
      <c r="VLU122" s="69"/>
      <c r="VLV122" s="69"/>
      <c r="VLW122" s="69"/>
      <c r="VLX122" s="69"/>
      <c r="VLY122" s="69"/>
      <c r="VLZ122" s="69"/>
      <c r="VMA122" s="69"/>
      <c r="VMB122" s="69"/>
      <c r="VMC122" s="69"/>
      <c r="VMD122" s="69"/>
      <c r="VME122" s="69"/>
      <c r="VMF122" s="69"/>
      <c r="VMG122" s="69"/>
      <c r="VMH122" s="69"/>
      <c r="VMI122" s="69"/>
      <c r="VMJ122" s="69"/>
      <c r="VMK122" s="69"/>
      <c r="VML122" s="69"/>
      <c r="VMM122" s="69"/>
      <c r="VMN122" s="69"/>
      <c r="VMO122" s="69"/>
      <c r="VMP122" s="69"/>
      <c r="VMQ122" s="69"/>
      <c r="VMR122" s="69"/>
      <c r="VMS122" s="69"/>
      <c r="VMT122" s="69"/>
      <c r="VMU122" s="69"/>
      <c r="VMV122" s="69"/>
      <c r="VMW122" s="69"/>
      <c r="VMX122" s="69"/>
      <c r="VMY122" s="69"/>
      <c r="VMZ122" s="69"/>
      <c r="VNA122" s="69"/>
      <c r="VNB122" s="69"/>
      <c r="VNC122" s="69"/>
      <c r="VND122" s="69"/>
      <c r="VNE122" s="69"/>
      <c r="VNF122" s="69"/>
      <c r="VNG122" s="69"/>
      <c r="VNH122" s="69"/>
      <c r="VNI122" s="69"/>
      <c r="VNJ122" s="69"/>
      <c r="VNK122" s="69"/>
      <c r="VNL122" s="69"/>
      <c r="VNM122" s="69"/>
      <c r="VNN122" s="69"/>
      <c r="VNO122" s="69"/>
      <c r="VNP122" s="69"/>
      <c r="VNQ122" s="69"/>
      <c r="VNR122" s="69"/>
      <c r="VNS122" s="69"/>
      <c r="VNT122" s="69"/>
      <c r="VNU122" s="69"/>
      <c r="VNV122" s="69"/>
      <c r="VNW122" s="69"/>
      <c r="VNX122" s="69"/>
      <c r="VNY122" s="69"/>
      <c r="VNZ122" s="69"/>
      <c r="VOA122" s="69"/>
      <c r="VOB122" s="69"/>
      <c r="VOC122" s="69"/>
      <c r="VOD122" s="69"/>
      <c r="VOE122" s="69"/>
      <c r="VOF122" s="69"/>
      <c r="VOG122" s="69"/>
      <c r="VOH122" s="69"/>
      <c r="VOI122" s="69"/>
      <c r="VOJ122" s="69"/>
      <c r="VOK122" s="69"/>
      <c r="VOL122" s="69"/>
      <c r="VOM122" s="69"/>
      <c r="VON122" s="69"/>
      <c r="VOO122" s="69"/>
      <c r="VOP122" s="69"/>
      <c r="VOQ122" s="69"/>
      <c r="VOR122" s="69"/>
      <c r="VOS122" s="69"/>
      <c r="VOT122" s="69"/>
      <c r="VOU122" s="69"/>
      <c r="VOV122" s="69"/>
      <c r="VOW122" s="69"/>
      <c r="VOX122" s="69"/>
      <c r="VOY122" s="69"/>
      <c r="VOZ122" s="69"/>
      <c r="VPA122" s="69"/>
      <c r="VPB122" s="69"/>
      <c r="VPC122" s="69"/>
      <c r="VPD122" s="69"/>
      <c r="VPE122" s="69"/>
      <c r="VPF122" s="69"/>
      <c r="VPG122" s="69"/>
      <c r="VPH122" s="69"/>
      <c r="VPI122" s="69"/>
      <c r="VPJ122" s="69"/>
      <c r="VPK122" s="69"/>
      <c r="VPL122" s="69"/>
      <c r="VPM122" s="69"/>
      <c r="VPN122" s="69"/>
      <c r="VPO122" s="69"/>
      <c r="VPP122" s="69"/>
      <c r="VPQ122" s="69"/>
      <c r="VPR122" s="69"/>
      <c r="VPS122" s="69"/>
      <c r="VPT122" s="69"/>
      <c r="VPU122" s="69"/>
      <c r="VPV122" s="69"/>
      <c r="VPW122" s="69"/>
      <c r="VPX122" s="69"/>
      <c r="VPY122" s="69"/>
      <c r="VPZ122" s="69"/>
      <c r="VQA122" s="69"/>
      <c r="VQB122" s="69"/>
      <c r="VQC122" s="69"/>
      <c r="VQD122" s="69"/>
      <c r="VQE122" s="69"/>
      <c r="VQF122" s="69"/>
      <c r="VQG122" s="69"/>
      <c r="VQH122" s="69"/>
      <c r="VQI122" s="69"/>
      <c r="VQJ122" s="69"/>
      <c r="VQK122" s="69"/>
      <c r="VQL122" s="69"/>
      <c r="VQM122" s="69"/>
      <c r="VQN122" s="69"/>
      <c r="VQO122" s="69"/>
      <c r="VQP122" s="69"/>
      <c r="VQQ122" s="69"/>
      <c r="VQR122" s="69"/>
      <c r="VQS122" s="69"/>
      <c r="VQT122" s="69"/>
      <c r="VQU122" s="69"/>
      <c r="VQV122" s="69"/>
      <c r="VQW122" s="69"/>
      <c r="VQX122" s="69"/>
      <c r="VQY122" s="69"/>
      <c r="VQZ122" s="69"/>
      <c r="VRA122" s="69"/>
      <c r="VRB122" s="69"/>
      <c r="VRC122" s="69"/>
      <c r="VRD122" s="69"/>
      <c r="VRE122" s="69"/>
      <c r="VRF122" s="69"/>
      <c r="VRG122" s="69"/>
      <c r="VRH122" s="69"/>
      <c r="VRI122" s="69"/>
      <c r="VRJ122" s="69"/>
      <c r="VRK122" s="69"/>
      <c r="VRL122" s="69"/>
      <c r="VRM122" s="69"/>
      <c r="VRN122" s="69"/>
      <c r="VRO122" s="69"/>
      <c r="VRP122" s="69"/>
      <c r="VRQ122" s="69"/>
      <c r="VRR122" s="69"/>
      <c r="VRS122" s="69"/>
      <c r="VRT122" s="69"/>
      <c r="VRU122" s="69"/>
      <c r="VRV122" s="69"/>
      <c r="VRW122" s="69"/>
      <c r="VRX122" s="69"/>
      <c r="VRY122" s="69"/>
      <c r="VRZ122" s="69"/>
      <c r="VSA122" s="69"/>
      <c r="VSB122" s="69"/>
      <c r="VSC122" s="69"/>
      <c r="VSD122" s="69"/>
      <c r="VSE122" s="69"/>
      <c r="VSF122" s="69"/>
      <c r="VSG122" s="69"/>
      <c r="VSH122" s="69"/>
      <c r="VSI122" s="69"/>
      <c r="VSJ122" s="69"/>
      <c r="VSK122" s="69"/>
      <c r="VSL122" s="69"/>
      <c r="VSM122" s="69"/>
      <c r="VSN122" s="69"/>
      <c r="VSO122" s="69"/>
      <c r="VSP122" s="69"/>
      <c r="VSQ122" s="69"/>
      <c r="VSR122" s="69"/>
      <c r="VSS122" s="69"/>
      <c r="VST122" s="69"/>
      <c r="VSU122" s="69"/>
      <c r="VSV122" s="69"/>
      <c r="VSW122" s="69"/>
      <c r="VSX122" s="69"/>
      <c r="VSY122" s="69"/>
      <c r="VSZ122" s="69"/>
      <c r="VTA122" s="69"/>
      <c r="VTB122" s="69"/>
      <c r="VTC122" s="69"/>
      <c r="VTD122" s="69"/>
      <c r="VTE122" s="69"/>
      <c r="VTF122" s="69"/>
      <c r="VTG122" s="69"/>
      <c r="VTH122" s="69"/>
      <c r="VTI122" s="69"/>
      <c r="VTJ122" s="69"/>
      <c r="VTK122" s="69"/>
      <c r="VTL122" s="69"/>
      <c r="VTM122" s="69"/>
      <c r="VTN122" s="69"/>
      <c r="VTO122" s="69"/>
      <c r="VTP122" s="69"/>
      <c r="VTQ122" s="69"/>
      <c r="VTR122" s="69"/>
      <c r="VTS122" s="69"/>
      <c r="VTT122" s="69"/>
      <c r="VTU122" s="69"/>
      <c r="VTV122" s="69"/>
      <c r="VTW122" s="69"/>
      <c r="VTX122" s="69"/>
      <c r="VTY122" s="69"/>
      <c r="VTZ122" s="69"/>
      <c r="VUA122" s="69"/>
      <c r="VUB122" s="69"/>
      <c r="VUC122" s="69"/>
      <c r="VUD122" s="69"/>
      <c r="VUE122" s="69"/>
      <c r="VUF122" s="69"/>
      <c r="VUG122" s="69"/>
      <c r="VUH122" s="69"/>
      <c r="VUI122" s="69"/>
      <c r="VUJ122" s="69"/>
      <c r="VUK122" s="69"/>
      <c r="VUL122" s="69"/>
      <c r="VUM122" s="69"/>
      <c r="VUN122" s="69"/>
      <c r="VUO122" s="69"/>
      <c r="VUP122" s="69"/>
      <c r="VUQ122" s="69"/>
      <c r="VUR122" s="69"/>
      <c r="VUS122" s="69"/>
      <c r="VUT122" s="69"/>
      <c r="VUU122" s="69"/>
      <c r="VUV122" s="69"/>
      <c r="VUW122" s="69"/>
      <c r="VUX122" s="69"/>
      <c r="VUY122" s="69"/>
      <c r="VUZ122" s="69"/>
      <c r="VVA122" s="69"/>
      <c r="VVB122" s="69"/>
      <c r="VVC122" s="69"/>
      <c r="VVD122" s="69"/>
      <c r="VVE122" s="69"/>
      <c r="VVF122" s="69"/>
      <c r="VVG122" s="69"/>
      <c r="VVH122" s="69"/>
      <c r="VVI122" s="69"/>
      <c r="VVJ122" s="69"/>
      <c r="VVK122" s="69"/>
      <c r="VVL122" s="69"/>
      <c r="VVM122" s="69"/>
      <c r="VVN122" s="69"/>
      <c r="VVO122" s="69"/>
      <c r="VVP122" s="69"/>
      <c r="VVQ122" s="69"/>
      <c r="VVR122" s="69"/>
      <c r="VVS122" s="69"/>
      <c r="VVT122" s="69"/>
      <c r="VVU122" s="69"/>
      <c r="VVV122" s="69"/>
      <c r="VVW122" s="69"/>
      <c r="VVX122" s="69"/>
      <c r="VVY122" s="69"/>
      <c r="VVZ122" s="69"/>
      <c r="VWA122" s="69"/>
      <c r="VWB122" s="69"/>
      <c r="VWC122" s="69"/>
      <c r="VWD122" s="69"/>
      <c r="VWE122" s="69"/>
      <c r="VWF122" s="69"/>
      <c r="VWG122" s="69"/>
      <c r="VWH122" s="69"/>
      <c r="VWI122" s="69"/>
      <c r="VWJ122" s="69"/>
      <c r="VWK122" s="69"/>
      <c r="VWL122" s="69"/>
      <c r="VWM122" s="69"/>
      <c r="VWN122" s="69"/>
      <c r="VWO122" s="69"/>
      <c r="VWP122" s="69"/>
      <c r="VWQ122" s="69"/>
      <c r="VWR122" s="69"/>
      <c r="VWS122" s="69"/>
      <c r="VWT122" s="69"/>
      <c r="VWU122" s="69"/>
      <c r="VWV122" s="69"/>
      <c r="VWW122" s="69"/>
      <c r="VWX122" s="69"/>
      <c r="VWY122" s="69"/>
      <c r="VWZ122" s="69"/>
      <c r="VXA122" s="69"/>
      <c r="VXB122" s="69"/>
      <c r="VXC122" s="69"/>
      <c r="VXD122" s="69"/>
      <c r="VXE122" s="69"/>
      <c r="VXF122" s="69"/>
      <c r="VXG122" s="69"/>
      <c r="VXH122" s="69"/>
      <c r="VXI122" s="69"/>
      <c r="VXJ122" s="69"/>
      <c r="VXK122" s="69"/>
      <c r="VXL122" s="69"/>
      <c r="VXM122" s="69"/>
      <c r="VXN122" s="69"/>
      <c r="VXO122" s="69"/>
      <c r="VXP122" s="69"/>
      <c r="VXQ122" s="69"/>
      <c r="VXR122" s="69"/>
      <c r="VXS122" s="69"/>
      <c r="VXT122" s="69"/>
      <c r="VXU122" s="69"/>
      <c r="VXV122" s="69"/>
      <c r="VXW122" s="69"/>
      <c r="VXX122" s="69"/>
      <c r="VXY122" s="69"/>
      <c r="VXZ122" s="69"/>
      <c r="VYA122" s="69"/>
      <c r="VYB122" s="69"/>
      <c r="VYC122" s="69"/>
      <c r="VYD122" s="69"/>
      <c r="VYE122" s="69"/>
      <c r="VYF122" s="69"/>
      <c r="VYG122" s="69"/>
      <c r="VYH122" s="69"/>
      <c r="VYI122" s="69"/>
      <c r="VYJ122" s="69"/>
      <c r="VYK122" s="69"/>
      <c r="VYL122" s="69"/>
      <c r="VYM122" s="69"/>
      <c r="VYN122" s="69"/>
      <c r="VYO122" s="69"/>
      <c r="VYP122" s="69"/>
      <c r="VYQ122" s="69"/>
      <c r="VYR122" s="69"/>
      <c r="VYS122" s="69"/>
      <c r="VYT122" s="69"/>
      <c r="VYU122" s="69"/>
      <c r="VYV122" s="69"/>
      <c r="VYW122" s="69"/>
      <c r="VYX122" s="69"/>
      <c r="VYY122" s="69"/>
      <c r="VYZ122" s="69"/>
      <c r="VZA122" s="69"/>
      <c r="VZB122" s="69"/>
      <c r="VZC122" s="69"/>
      <c r="VZD122" s="69"/>
      <c r="VZE122" s="69"/>
      <c r="VZF122" s="69"/>
      <c r="VZG122" s="69"/>
      <c r="VZH122" s="69"/>
      <c r="VZI122" s="69"/>
      <c r="VZJ122" s="69"/>
      <c r="VZK122" s="69"/>
      <c r="VZL122" s="69"/>
      <c r="VZM122" s="69"/>
      <c r="VZN122" s="69"/>
      <c r="VZO122" s="69"/>
      <c r="VZP122" s="69"/>
      <c r="VZQ122" s="69"/>
      <c r="VZR122" s="69"/>
      <c r="VZS122" s="69"/>
      <c r="VZT122" s="69"/>
      <c r="VZU122" s="69"/>
      <c r="VZV122" s="69"/>
      <c r="VZW122" s="69"/>
      <c r="VZX122" s="69"/>
      <c r="VZY122" s="69"/>
      <c r="VZZ122" s="69"/>
      <c r="WAA122" s="69"/>
      <c r="WAB122" s="69"/>
      <c r="WAC122" s="69"/>
      <c r="WAD122" s="69"/>
      <c r="WAE122" s="69"/>
      <c r="WAF122" s="69"/>
      <c r="WAG122" s="69"/>
      <c r="WAH122" s="69"/>
      <c r="WAI122" s="69"/>
      <c r="WAJ122" s="69"/>
      <c r="WAK122" s="69"/>
      <c r="WAL122" s="69"/>
      <c r="WAM122" s="69"/>
      <c r="WAN122" s="69"/>
      <c r="WAO122" s="69"/>
      <c r="WAP122" s="69"/>
      <c r="WAQ122" s="69"/>
      <c r="WAR122" s="69"/>
      <c r="WAS122" s="69"/>
      <c r="WAT122" s="69"/>
      <c r="WAU122" s="69"/>
      <c r="WAV122" s="69"/>
      <c r="WAW122" s="69"/>
      <c r="WAX122" s="69"/>
      <c r="WAY122" s="69"/>
      <c r="WAZ122" s="69"/>
      <c r="WBA122" s="69"/>
      <c r="WBB122" s="69"/>
      <c r="WBC122" s="69"/>
      <c r="WBD122" s="69"/>
      <c r="WBE122" s="69"/>
      <c r="WBF122" s="69"/>
      <c r="WBG122" s="69"/>
      <c r="WBH122" s="69"/>
      <c r="WBI122" s="69"/>
      <c r="WBJ122" s="69"/>
      <c r="WBK122" s="69"/>
      <c r="WBL122" s="69"/>
      <c r="WBM122" s="69"/>
      <c r="WBN122" s="69"/>
      <c r="WBO122" s="69"/>
      <c r="WBP122" s="69"/>
      <c r="WBQ122" s="69"/>
      <c r="WBR122" s="69"/>
      <c r="WBS122" s="69"/>
      <c r="WBT122" s="69"/>
      <c r="WBU122" s="69"/>
      <c r="WBV122" s="69"/>
      <c r="WBW122" s="69"/>
      <c r="WBX122" s="69"/>
      <c r="WBY122" s="69"/>
      <c r="WBZ122" s="69"/>
      <c r="WCA122" s="69"/>
      <c r="WCB122" s="69"/>
      <c r="WCC122" s="69"/>
      <c r="WCD122" s="69"/>
      <c r="WCE122" s="69"/>
      <c r="WCF122" s="69"/>
      <c r="WCG122" s="69"/>
      <c r="WCH122" s="69"/>
      <c r="WCI122" s="69"/>
      <c r="WCJ122" s="69"/>
      <c r="WCK122" s="69"/>
      <c r="WCL122" s="69"/>
      <c r="WCM122" s="69"/>
      <c r="WCN122" s="69"/>
      <c r="WCO122" s="69"/>
      <c r="WCP122" s="69"/>
      <c r="WCQ122" s="69"/>
      <c r="WCR122" s="69"/>
      <c r="WCS122" s="69"/>
      <c r="WCT122" s="69"/>
      <c r="WCU122" s="69"/>
      <c r="WCV122" s="69"/>
      <c r="WCW122" s="69"/>
      <c r="WCX122" s="69"/>
      <c r="WCY122" s="69"/>
      <c r="WCZ122" s="69"/>
      <c r="WDA122" s="69"/>
      <c r="WDB122" s="69"/>
      <c r="WDC122" s="69"/>
      <c r="WDD122" s="69"/>
      <c r="WDE122" s="69"/>
      <c r="WDF122" s="69"/>
      <c r="WDG122" s="69"/>
      <c r="WDH122" s="69"/>
      <c r="WDI122" s="69"/>
      <c r="WDJ122" s="69"/>
      <c r="WDK122" s="69"/>
      <c r="WDL122" s="69"/>
      <c r="WDM122" s="69"/>
      <c r="WDN122" s="69"/>
      <c r="WDO122" s="69"/>
      <c r="WDP122" s="69"/>
      <c r="WDQ122" s="69"/>
      <c r="WDR122" s="69"/>
      <c r="WDS122" s="69"/>
      <c r="WDT122" s="69"/>
      <c r="WDU122" s="69"/>
      <c r="WDV122" s="69"/>
      <c r="WDW122" s="69"/>
      <c r="WDX122" s="69"/>
      <c r="WDY122" s="69"/>
      <c r="WDZ122" s="69"/>
      <c r="WEA122" s="69"/>
      <c r="WEB122" s="69"/>
      <c r="WEC122" s="69"/>
      <c r="WED122" s="69"/>
      <c r="WEE122" s="69"/>
      <c r="WEF122" s="69"/>
      <c r="WEG122" s="69"/>
      <c r="WEH122" s="69"/>
      <c r="WEI122" s="69"/>
      <c r="WEJ122" s="69"/>
      <c r="WEK122" s="69"/>
      <c r="WEL122" s="69"/>
      <c r="WEM122" s="69"/>
      <c r="WEN122" s="69"/>
      <c r="WEO122" s="69"/>
      <c r="WEP122" s="69"/>
      <c r="WEQ122" s="69"/>
      <c r="WER122" s="69"/>
      <c r="WES122" s="69"/>
      <c r="WET122" s="69"/>
      <c r="WEU122" s="69"/>
      <c r="WEV122" s="69"/>
      <c r="WEW122" s="69"/>
      <c r="WEX122" s="69"/>
      <c r="WEY122" s="69"/>
      <c r="WEZ122" s="69"/>
      <c r="WFA122" s="69"/>
      <c r="WFB122" s="69"/>
      <c r="WFC122" s="69"/>
      <c r="WFD122" s="69"/>
      <c r="WFE122" s="69"/>
      <c r="WFF122" s="69"/>
      <c r="WFG122" s="69"/>
      <c r="WFH122" s="69"/>
      <c r="WFI122" s="69"/>
      <c r="WFJ122" s="69"/>
      <c r="WFK122" s="69"/>
      <c r="WFL122" s="69"/>
      <c r="WFM122" s="69"/>
      <c r="WFN122" s="69"/>
      <c r="WFO122" s="69"/>
      <c r="WFP122" s="69"/>
      <c r="WFQ122" s="69"/>
      <c r="WFR122" s="69"/>
      <c r="WFS122" s="69"/>
      <c r="WFT122" s="69"/>
      <c r="WFU122" s="69"/>
      <c r="WFV122" s="69"/>
      <c r="WFW122" s="69"/>
      <c r="WFX122" s="69"/>
      <c r="WFY122" s="69"/>
      <c r="WFZ122" s="69"/>
      <c r="WGA122" s="69"/>
      <c r="WGB122" s="69"/>
      <c r="WGC122" s="69"/>
      <c r="WGD122" s="69"/>
      <c r="WGE122" s="69"/>
      <c r="WGF122" s="69"/>
      <c r="WGG122" s="69"/>
      <c r="WGH122" s="69"/>
      <c r="WGI122" s="69"/>
      <c r="WGJ122" s="69"/>
      <c r="WGK122" s="69"/>
      <c r="WGL122" s="69"/>
      <c r="WGM122" s="69"/>
      <c r="WGN122" s="69"/>
      <c r="WGO122" s="69"/>
      <c r="WGP122" s="69"/>
      <c r="WGQ122" s="69"/>
      <c r="WGR122" s="69"/>
      <c r="WGS122" s="69"/>
      <c r="WGT122" s="69"/>
      <c r="WGU122" s="69"/>
      <c r="WGV122" s="69"/>
      <c r="WGW122" s="69"/>
      <c r="WGX122" s="69"/>
      <c r="WGY122" s="69"/>
      <c r="WGZ122" s="69"/>
      <c r="WHA122" s="69"/>
      <c r="WHB122" s="69"/>
      <c r="WHC122" s="69"/>
      <c r="WHD122" s="69"/>
      <c r="WHE122" s="69"/>
      <c r="WHF122" s="69"/>
      <c r="WHG122" s="69"/>
      <c r="WHH122" s="69"/>
      <c r="WHI122" s="69"/>
      <c r="WHJ122" s="69"/>
      <c r="WHK122" s="69"/>
      <c r="WHL122" s="69"/>
      <c r="WHM122" s="69"/>
      <c r="WHN122" s="69"/>
      <c r="WHO122" s="69"/>
      <c r="WHP122" s="69"/>
      <c r="WHQ122" s="69"/>
      <c r="WHR122" s="69"/>
      <c r="WHS122" s="69"/>
      <c r="WHT122" s="69"/>
      <c r="WHU122" s="69"/>
      <c r="WHV122" s="69"/>
      <c r="WHW122" s="69"/>
      <c r="WHX122" s="69"/>
      <c r="WHY122" s="69"/>
      <c r="WHZ122" s="69"/>
      <c r="WIA122" s="69"/>
      <c r="WIB122" s="69"/>
      <c r="WIC122" s="69"/>
      <c r="WID122" s="69"/>
      <c r="WIE122" s="69"/>
      <c r="WIF122" s="69"/>
      <c r="WIG122" s="69"/>
      <c r="WIH122" s="69"/>
      <c r="WII122" s="69"/>
      <c r="WIJ122" s="69"/>
      <c r="WIK122" s="69"/>
      <c r="WIL122" s="69"/>
      <c r="WIM122" s="69"/>
      <c r="WIN122" s="69"/>
      <c r="WIO122" s="69"/>
      <c r="WIP122" s="69"/>
      <c r="WIQ122" s="69"/>
      <c r="WIR122" s="69"/>
      <c r="WIS122" s="69"/>
      <c r="WIT122" s="69"/>
      <c r="WIU122" s="69"/>
      <c r="WIV122" s="69"/>
      <c r="WIW122" s="69"/>
      <c r="WIX122" s="69"/>
      <c r="WIY122" s="69"/>
      <c r="WIZ122" s="69"/>
      <c r="WJA122" s="69"/>
      <c r="WJB122" s="69"/>
      <c r="WJC122" s="69"/>
      <c r="WJD122" s="69"/>
      <c r="WJE122" s="69"/>
      <c r="WJF122" s="69"/>
      <c r="WJG122" s="69"/>
      <c r="WJH122" s="69"/>
      <c r="WJI122" s="69"/>
      <c r="WJJ122" s="69"/>
      <c r="WJK122" s="69"/>
      <c r="WJL122" s="69"/>
      <c r="WJM122" s="69"/>
      <c r="WJN122" s="69"/>
      <c r="WJO122" s="69"/>
      <c r="WJP122" s="69"/>
      <c r="WJQ122" s="69"/>
      <c r="WJR122" s="69"/>
      <c r="WJS122" s="69"/>
      <c r="WJT122" s="69"/>
      <c r="WJU122" s="69"/>
      <c r="WJV122" s="69"/>
      <c r="WJW122" s="69"/>
      <c r="WJX122" s="69"/>
      <c r="WJY122" s="69"/>
      <c r="WJZ122" s="69"/>
      <c r="WKA122" s="69"/>
      <c r="WKB122" s="69"/>
      <c r="WKC122" s="69"/>
      <c r="WKD122" s="69"/>
      <c r="WKE122" s="69"/>
      <c r="WKF122" s="69"/>
      <c r="WKG122" s="69"/>
      <c r="WKH122" s="69"/>
      <c r="WKI122" s="69"/>
      <c r="WKJ122" s="69"/>
      <c r="WKK122" s="69"/>
      <c r="WKL122" s="69"/>
      <c r="WKM122" s="69"/>
      <c r="WKN122" s="69"/>
      <c r="WKO122" s="69"/>
      <c r="WKP122" s="69"/>
      <c r="WKQ122" s="69"/>
      <c r="WKR122" s="69"/>
      <c r="WKS122" s="69"/>
      <c r="WKT122" s="69"/>
      <c r="WKU122" s="69"/>
      <c r="WKV122" s="69"/>
      <c r="WKW122" s="69"/>
      <c r="WKX122" s="69"/>
      <c r="WKY122" s="69"/>
      <c r="WKZ122" s="69"/>
      <c r="WLA122" s="69"/>
      <c r="WLB122" s="69"/>
      <c r="WLC122" s="69"/>
      <c r="WLD122" s="69"/>
      <c r="WLE122" s="69"/>
      <c r="WLF122" s="69"/>
      <c r="WLG122" s="69"/>
      <c r="WLH122" s="69"/>
      <c r="WLI122" s="69"/>
      <c r="WLJ122" s="69"/>
      <c r="WLK122" s="69"/>
      <c r="WLL122" s="69"/>
      <c r="WLM122" s="69"/>
      <c r="WLN122" s="69"/>
      <c r="WLO122" s="69"/>
      <c r="WLP122" s="69"/>
      <c r="WLQ122" s="69"/>
      <c r="WLR122" s="69"/>
      <c r="WLS122" s="69"/>
      <c r="WLT122" s="69"/>
      <c r="WLU122" s="69"/>
      <c r="WLV122" s="69"/>
      <c r="WLW122" s="69"/>
      <c r="WLX122" s="69"/>
      <c r="WLY122" s="69"/>
      <c r="WLZ122" s="69"/>
      <c r="WMA122" s="69"/>
      <c r="WMB122" s="69"/>
      <c r="WMC122" s="69"/>
      <c r="WMD122" s="69"/>
      <c r="WME122" s="69"/>
      <c r="WMF122" s="69"/>
      <c r="WMG122" s="69"/>
      <c r="WMH122" s="69"/>
      <c r="WMI122" s="69"/>
      <c r="WMJ122" s="69"/>
      <c r="WMK122" s="69"/>
      <c r="WML122" s="69"/>
      <c r="WMM122" s="69"/>
      <c r="WMN122" s="69"/>
      <c r="WMO122" s="69"/>
      <c r="WMP122" s="69"/>
      <c r="WMQ122" s="69"/>
      <c r="WMR122" s="69"/>
      <c r="WMS122" s="69"/>
      <c r="WMT122" s="69"/>
      <c r="WMU122" s="69"/>
      <c r="WMV122" s="69"/>
      <c r="WMW122" s="69"/>
      <c r="WMX122" s="69"/>
      <c r="WMY122" s="69"/>
      <c r="WMZ122" s="69"/>
      <c r="WNA122" s="69"/>
      <c r="WNB122" s="69"/>
      <c r="WNC122" s="69"/>
      <c r="WND122" s="69"/>
      <c r="WNE122" s="69"/>
      <c r="WNF122" s="69"/>
      <c r="WNG122" s="69"/>
      <c r="WNH122" s="69"/>
      <c r="WNI122" s="69"/>
      <c r="WNJ122" s="69"/>
      <c r="WNK122" s="69"/>
      <c r="WNL122" s="69"/>
      <c r="WNM122" s="69"/>
      <c r="WNN122" s="69"/>
      <c r="WNO122" s="69"/>
      <c r="WNP122" s="69"/>
      <c r="WNQ122" s="69"/>
      <c r="WNR122" s="69"/>
      <c r="WNS122" s="69"/>
      <c r="WNT122" s="69"/>
      <c r="WNU122" s="69"/>
      <c r="WNV122" s="69"/>
      <c r="WNW122" s="69"/>
      <c r="WNX122" s="69"/>
      <c r="WNY122" s="69"/>
      <c r="WNZ122" s="69"/>
      <c r="WOA122" s="69"/>
      <c r="WOB122" s="69"/>
      <c r="WOC122" s="69"/>
      <c r="WOD122" s="69"/>
      <c r="WOE122" s="69"/>
      <c r="WOF122" s="69"/>
      <c r="WOG122" s="69"/>
      <c r="WOH122" s="69"/>
      <c r="WOI122" s="69"/>
      <c r="WOJ122" s="69"/>
      <c r="WOK122" s="69"/>
      <c r="WOL122" s="69"/>
      <c r="WOM122" s="69"/>
      <c r="WON122" s="69"/>
      <c r="WOO122" s="69"/>
      <c r="WOP122" s="69"/>
      <c r="WOQ122" s="69"/>
      <c r="WOR122" s="69"/>
      <c r="WOS122" s="69"/>
      <c r="WOT122" s="69"/>
      <c r="WOU122" s="69"/>
      <c r="WOV122" s="69"/>
      <c r="WOW122" s="69"/>
      <c r="WOX122" s="69"/>
      <c r="WOY122" s="69"/>
      <c r="WOZ122" s="69"/>
      <c r="WPA122" s="69"/>
      <c r="WPB122" s="69"/>
      <c r="WPC122" s="69"/>
      <c r="WPD122" s="69"/>
      <c r="WPE122" s="69"/>
      <c r="WPF122" s="69"/>
      <c r="WPG122" s="69"/>
      <c r="WPH122" s="69"/>
      <c r="WPI122" s="69"/>
      <c r="WPJ122" s="69"/>
      <c r="WPK122" s="69"/>
      <c r="WPL122" s="69"/>
      <c r="WPM122" s="69"/>
      <c r="WPN122" s="69"/>
      <c r="WPO122" s="69"/>
      <c r="WPP122" s="69"/>
      <c r="WPQ122" s="69"/>
      <c r="WPR122" s="69"/>
      <c r="WPS122" s="69"/>
      <c r="WPT122" s="69"/>
      <c r="WPU122" s="69"/>
      <c r="WPV122" s="69"/>
      <c r="WPW122" s="69"/>
      <c r="WPX122" s="69"/>
      <c r="WPY122" s="69"/>
      <c r="WPZ122" s="69"/>
      <c r="WQA122" s="69"/>
      <c r="WQB122" s="69"/>
      <c r="WQC122" s="69"/>
      <c r="WQD122" s="69"/>
      <c r="WQE122" s="69"/>
      <c r="WQF122" s="69"/>
      <c r="WQG122" s="69"/>
      <c r="WQH122" s="69"/>
      <c r="WQI122" s="69"/>
      <c r="WQJ122" s="69"/>
      <c r="WQK122" s="69"/>
      <c r="WQL122" s="69"/>
      <c r="WQM122" s="69"/>
      <c r="WQN122" s="69"/>
      <c r="WQO122" s="69"/>
      <c r="WQP122" s="69"/>
      <c r="WQQ122" s="69"/>
      <c r="WQR122" s="69"/>
      <c r="WQS122" s="69"/>
      <c r="WQT122" s="69"/>
      <c r="WQU122" s="69"/>
      <c r="WQV122" s="69"/>
      <c r="WQW122" s="69"/>
      <c r="WQX122" s="69"/>
      <c r="WQY122" s="69"/>
      <c r="WQZ122" s="69"/>
      <c r="WRA122" s="69"/>
      <c r="WRB122" s="69"/>
      <c r="WRC122" s="69"/>
      <c r="WRD122" s="69"/>
      <c r="WRE122" s="69"/>
      <c r="WRF122" s="69"/>
      <c r="WRG122" s="69"/>
      <c r="WRH122" s="69"/>
      <c r="WRI122" s="69"/>
      <c r="WRJ122" s="69"/>
      <c r="WRK122" s="69"/>
      <c r="WRL122" s="69"/>
      <c r="WRM122" s="69"/>
      <c r="WRN122" s="69"/>
      <c r="WRO122" s="69"/>
      <c r="WRP122" s="69"/>
      <c r="WRQ122" s="69"/>
      <c r="WRR122" s="69"/>
      <c r="WRS122" s="69"/>
      <c r="WRT122" s="69"/>
      <c r="WRU122" s="69"/>
      <c r="WRV122" s="69"/>
      <c r="WRW122" s="69"/>
      <c r="WRX122" s="69"/>
      <c r="WRY122" s="69"/>
      <c r="WRZ122" s="69"/>
      <c r="WSA122" s="69"/>
      <c r="WSB122" s="69"/>
      <c r="WSC122" s="69"/>
      <c r="WSD122" s="69"/>
      <c r="WSE122" s="69"/>
      <c r="WSF122" s="69"/>
      <c r="WSG122" s="69"/>
      <c r="WSH122" s="69"/>
      <c r="WSI122" s="69"/>
      <c r="WSJ122" s="69"/>
      <c r="WSK122" s="69"/>
      <c r="WSL122" s="69"/>
      <c r="WSM122" s="69"/>
      <c r="WSN122" s="69"/>
      <c r="WSO122" s="69"/>
      <c r="WSP122" s="69"/>
      <c r="WSQ122" s="69"/>
      <c r="WSR122" s="69"/>
      <c r="WSS122" s="69"/>
      <c r="WST122" s="69"/>
      <c r="WSU122" s="69"/>
      <c r="WSV122" s="69"/>
      <c r="WSW122" s="69"/>
      <c r="WSX122" s="69"/>
      <c r="WSY122" s="69"/>
      <c r="WSZ122" s="69"/>
      <c r="WTA122" s="69"/>
      <c r="WTB122" s="69"/>
      <c r="WTC122" s="69"/>
      <c r="WTD122" s="69"/>
      <c r="WTE122" s="69"/>
      <c r="WTF122" s="69"/>
      <c r="WTG122" s="69"/>
      <c r="WTH122" s="69"/>
      <c r="WTI122" s="69"/>
      <c r="WTJ122" s="69"/>
      <c r="WTK122" s="69"/>
      <c r="WTL122" s="69"/>
      <c r="WTM122" s="69"/>
      <c r="WTN122" s="69"/>
      <c r="WTO122" s="69"/>
      <c r="WTP122" s="69"/>
      <c r="WTQ122" s="69"/>
      <c r="WTR122" s="69"/>
      <c r="WTS122" s="69"/>
      <c r="WTT122" s="69"/>
      <c r="WTU122" s="69"/>
      <c r="WTV122" s="69"/>
      <c r="WTW122" s="69"/>
      <c r="WTX122" s="69"/>
      <c r="WTY122" s="69"/>
      <c r="WTZ122" s="69"/>
      <c r="WUA122" s="69"/>
      <c r="WUB122" s="69"/>
      <c r="WUC122" s="69"/>
      <c r="WUD122" s="69"/>
      <c r="WUE122" s="69"/>
      <c r="WUF122" s="69"/>
      <c r="WUG122" s="69"/>
      <c r="WUH122" s="69"/>
      <c r="WUI122" s="69"/>
      <c r="WUJ122" s="69"/>
      <c r="WUK122" s="69"/>
      <c r="WUL122" s="69"/>
      <c r="WUM122" s="69"/>
      <c r="WUN122" s="69"/>
      <c r="WUO122" s="69"/>
      <c r="WUP122" s="69"/>
      <c r="WUQ122" s="69"/>
      <c r="WUR122" s="69"/>
      <c r="WUS122" s="69"/>
      <c r="WUT122" s="69"/>
      <c r="WUU122" s="69"/>
      <c r="WUV122" s="69"/>
      <c r="WUW122" s="69"/>
      <c r="WUX122" s="69"/>
      <c r="WUY122" s="69"/>
      <c r="WUZ122" s="69"/>
      <c r="WVA122" s="69"/>
      <c r="WVB122" s="69"/>
      <c r="WVC122" s="69"/>
      <c r="WVD122" s="69"/>
      <c r="WVE122" s="69"/>
      <c r="WVF122" s="69"/>
      <c r="WVG122" s="69"/>
      <c r="WVH122" s="69"/>
      <c r="WVI122" s="69"/>
      <c r="WVJ122" s="69"/>
      <c r="WVK122" s="69"/>
      <c r="WVL122" s="69"/>
      <c r="WVM122" s="69"/>
      <c r="WVN122" s="69"/>
      <c r="WVO122" s="69"/>
      <c r="WVP122" s="69"/>
      <c r="WVQ122" s="69"/>
      <c r="WVR122" s="69"/>
      <c r="WVS122" s="69"/>
      <c r="WVT122" s="69"/>
      <c r="WVU122" s="69"/>
      <c r="WVV122" s="69"/>
      <c r="WVW122" s="69"/>
      <c r="WVX122" s="69"/>
      <c r="WVY122" s="69"/>
      <c r="WVZ122" s="69"/>
      <c r="WWA122" s="69"/>
      <c r="WWB122" s="69"/>
      <c r="WWC122" s="69"/>
      <c r="WWD122" s="69"/>
      <c r="WWE122" s="69"/>
      <c r="WWF122" s="69"/>
      <c r="WWG122" s="69"/>
      <c r="WWH122" s="69"/>
      <c r="WWI122" s="69"/>
      <c r="WWJ122" s="69"/>
      <c r="WWK122" s="69"/>
      <c r="WWL122" s="69"/>
      <c r="WWM122" s="69"/>
      <c r="WWN122" s="69"/>
      <c r="WWO122" s="69"/>
      <c r="WWP122" s="69"/>
      <c r="WWQ122" s="69"/>
      <c r="WWR122" s="69"/>
      <c r="WWS122" s="69"/>
      <c r="WWT122" s="69"/>
      <c r="WWU122" s="69"/>
      <c r="WWV122" s="69"/>
      <c r="WWW122" s="69"/>
      <c r="WWX122" s="69"/>
      <c r="WWY122" s="69"/>
      <c r="WWZ122" s="69"/>
      <c r="WXA122" s="69"/>
      <c r="WXB122" s="69"/>
      <c r="WXC122" s="69"/>
      <c r="WXD122" s="69"/>
      <c r="WXE122" s="69"/>
      <c r="WXF122" s="69"/>
      <c r="WXG122" s="69"/>
      <c r="WXH122" s="69"/>
      <c r="WXI122" s="69"/>
      <c r="WXJ122" s="69"/>
      <c r="WXK122" s="69"/>
      <c r="WXL122" s="69"/>
      <c r="WXM122" s="69"/>
      <c r="WXN122" s="69"/>
      <c r="WXO122" s="69"/>
      <c r="WXP122" s="69"/>
      <c r="WXQ122" s="69"/>
      <c r="WXR122" s="69"/>
      <c r="WXS122" s="69"/>
      <c r="WXT122" s="69"/>
      <c r="WXU122" s="69"/>
      <c r="WXV122" s="69"/>
      <c r="WXW122" s="69"/>
      <c r="WXX122" s="69"/>
      <c r="WXY122" s="69"/>
      <c r="WXZ122" s="69"/>
      <c r="WYA122" s="69"/>
      <c r="WYB122" s="69"/>
      <c r="WYC122" s="69"/>
      <c r="WYD122" s="69"/>
      <c r="WYE122" s="69"/>
      <c r="WYF122" s="69"/>
      <c r="WYG122" s="69"/>
      <c r="WYH122" s="69"/>
      <c r="WYI122" s="69"/>
      <c r="WYJ122" s="69"/>
      <c r="WYK122" s="69"/>
      <c r="WYL122" s="69"/>
      <c r="WYM122" s="69"/>
      <c r="WYN122" s="69"/>
      <c r="WYO122" s="69"/>
      <c r="WYP122" s="69"/>
      <c r="WYQ122" s="69"/>
      <c r="WYR122" s="69"/>
      <c r="WYS122" s="69"/>
      <c r="WYT122" s="69"/>
      <c r="WYU122" s="69"/>
      <c r="WYV122" s="69"/>
      <c r="WYW122" s="69"/>
      <c r="WYX122" s="69"/>
      <c r="WYY122" s="69"/>
      <c r="WYZ122" s="69"/>
      <c r="WZA122" s="69"/>
      <c r="WZB122" s="69"/>
      <c r="WZC122" s="69"/>
      <c r="WZD122" s="69"/>
      <c r="WZE122" s="69"/>
      <c r="WZF122" s="69"/>
      <c r="WZG122" s="69"/>
      <c r="WZH122" s="69"/>
      <c r="WZI122" s="69"/>
      <c r="WZJ122" s="69"/>
      <c r="WZK122" s="69"/>
      <c r="WZL122" s="69"/>
      <c r="WZM122" s="69"/>
      <c r="WZN122" s="69"/>
      <c r="WZO122" s="69"/>
      <c r="WZP122" s="69"/>
      <c r="WZQ122" s="69"/>
      <c r="WZR122" s="69"/>
      <c r="WZS122" s="69"/>
      <c r="WZT122" s="69"/>
      <c r="WZU122" s="69"/>
      <c r="WZV122" s="69"/>
      <c r="WZW122" s="69"/>
      <c r="WZX122" s="69"/>
      <c r="WZY122" s="69"/>
      <c r="WZZ122" s="69"/>
      <c r="XAA122" s="69"/>
      <c r="XAB122" s="69"/>
      <c r="XAC122" s="69"/>
      <c r="XAD122" s="69"/>
      <c r="XAE122" s="69"/>
      <c r="XAF122" s="69"/>
      <c r="XAG122" s="69"/>
      <c r="XAH122" s="69"/>
      <c r="XAI122" s="69"/>
      <c r="XAJ122" s="69"/>
      <c r="XAK122" s="69"/>
      <c r="XAL122" s="69"/>
      <c r="XAM122" s="69"/>
      <c r="XAN122" s="69"/>
      <c r="XAO122" s="69"/>
      <c r="XAP122" s="69"/>
      <c r="XAQ122" s="69"/>
      <c r="XAR122" s="69"/>
      <c r="XAS122" s="69"/>
      <c r="XAT122" s="69"/>
      <c r="XAU122" s="69"/>
      <c r="XAV122" s="69"/>
      <c r="XAW122" s="69"/>
      <c r="XAX122" s="69"/>
      <c r="XAY122" s="69"/>
      <c r="XAZ122" s="69"/>
      <c r="XBA122" s="69"/>
      <c r="XBB122" s="69"/>
      <c r="XBC122" s="69"/>
      <c r="XBD122" s="69"/>
      <c r="XBE122" s="69"/>
      <c r="XBF122" s="69"/>
      <c r="XBG122" s="69"/>
      <c r="XBH122" s="69"/>
      <c r="XBI122" s="69"/>
      <c r="XBJ122" s="69"/>
      <c r="XBK122" s="69"/>
      <c r="XBL122" s="69"/>
      <c r="XBM122" s="69"/>
      <c r="XBN122" s="69"/>
      <c r="XBO122" s="69"/>
      <c r="XBP122" s="69"/>
      <c r="XBQ122" s="69"/>
      <c r="XBR122" s="69"/>
      <c r="XBS122" s="69"/>
      <c r="XBT122" s="69"/>
      <c r="XBU122" s="69"/>
      <c r="XBV122" s="69"/>
      <c r="XBW122" s="69"/>
      <c r="XBX122" s="69"/>
      <c r="XBY122" s="69"/>
      <c r="XBZ122" s="69"/>
      <c r="XCA122" s="69"/>
      <c r="XCB122" s="69"/>
      <c r="XCC122" s="69"/>
      <c r="XCD122" s="69"/>
      <c r="XCE122" s="69"/>
      <c r="XCF122" s="69"/>
      <c r="XCG122" s="69"/>
      <c r="XCH122" s="69"/>
      <c r="XCI122" s="69"/>
      <c r="XCJ122" s="69"/>
      <c r="XCK122" s="69"/>
      <c r="XCL122" s="69"/>
      <c r="XCM122" s="69"/>
      <c r="XCN122" s="69"/>
      <c r="XCO122" s="69"/>
      <c r="XCP122" s="69"/>
      <c r="XCQ122" s="69"/>
      <c r="XCR122" s="69"/>
      <c r="XCS122" s="69"/>
      <c r="XCT122" s="69"/>
      <c r="XCU122" s="69"/>
      <c r="XCV122" s="69"/>
      <c r="XCW122" s="69"/>
      <c r="XCX122" s="69"/>
      <c r="XCY122" s="69"/>
      <c r="XCZ122" s="69"/>
      <c r="XDA122" s="69"/>
      <c r="XDB122" s="69"/>
      <c r="XDC122" s="69"/>
      <c r="XDD122" s="69"/>
      <c r="XDE122" s="69"/>
      <c r="XDF122" s="69"/>
      <c r="XDG122" s="69"/>
      <c r="XDH122" s="69"/>
      <c r="XDI122" s="69"/>
      <c r="XDJ122" s="69"/>
      <c r="XDK122" s="69"/>
      <c r="XDL122" s="69"/>
      <c r="XDM122" s="69"/>
      <c r="XDN122" s="69"/>
      <c r="XDO122" s="69"/>
      <c r="XDP122" s="69"/>
      <c r="XDQ122" s="69"/>
      <c r="XDR122" s="69"/>
      <c r="XDS122" s="69"/>
      <c r="XDT122" s="69"/>
      <c r="XDU122" s="69"/>
      <c r="XDV122" s="69"/>
      <c r="XDW122" s="69"/>
      <c r="XDX122" s="69"/>
      <c r="XDY122" s="69"/>
      <c r="XDZ122" s="69"/>
      <c r="XEA122" s="69"/>
      <c r="XEB122" s="69"/>
      <c r="XEC122" s="69"/>
      <c r="XED122" s="69"/>
      <c r="XEE122" s="69"/>
      <c r="XEF122" s="69"/>
      <c r="XEG122" s="69"/>
      <c r="XEH122" s="69"/>
      <c r="XEI122" s="69"/>
      <c r="XEJ122" s="69"/>
      <c r="XEK122" s="69"/>
      <c r="XEL122" s="69"/>
      <c r="XEM122" s="69"/>
      <c r="XEN122" s="69"/>
      <c r="XEO122" s="69"/>
      <c r="XEP122" s="69"/>
      <c r="XEQ122" s="69"/>
      <c r="XER122" s="69"/>
      <c r="XES122" s="69"/>
      <c r="XET122" s="69"/>
      <c r="XEU122" s="69"/>
      <c r="XEV122" s="69"/>
      <c r="XEW122" s="69"/>
      <c r="XEX122" s="69"/>
      <c r="XEY122" s="69"/>
      <c r="XEZ122" s="69"/>
      <c r="XFA122" s="69"/>
      <c r="XFB122" s="69"/>
      <c r="XFC122" s="69"/>
      <c r="XFD122" s="69"/>
    </row>
    <row r="123" spans="1:16384" s="36" customFormat="1" ht="11.25" customHeight="1">
      <c r="A123" s="69" t="s">
        <v>31</v>
      </c>
      <c r="B123" s="56">
        <f t="shared" ref="B123:AG123" si="148">B21/B9</f>
        <v>0.20842313218390804</v>
      </c>
      <c r="C123" s="78">
        <f t="shared" si="148"/>
        <v>0.23224637681159421</v>
      </c>
      <c r="D123" s="78">
        <f t="shared" si="148"/>
        <v>0.28093158660844253</v>
      </c>
      <c r="E123" s="78">
        <f t="shared" si="148"/>
        <v>0.27619387027797576</v>
      </c>
      <c r="F123" s="78">
        <f t="shared" si="148"/>
        <v>0.16734542761940022</v>
      </c>
      <c r="G123" s="56">
        <f t="shared" si="148"/>
        <v>0.23967317294598275</v>
      </c>
      <c r="H123" s="78">
        <f t="shared" si="148"/>
        <v>0.28627731995700467</v>
      </c>
      <c r="I123" s="78">
        <f t="shared" si="148"/>
        <v>0.28481894150417825</v>
      </c>
      <c r="J123" s="78">
        <f t="shared" si="148"/>
        <v>0.29924760601915185</v>
      </c>
      <c r="K123" s="78">
        <f t="shared" si="148"/>
        <v>0.16371077762619374</v>
      </c>
      <c r="L123" s="56">
        <f t="shared" si="148"/>
        <v>0.25800850768295858</v>
      </c>
      <c r="M123" s="78">
        <f t="shared" si="148"/>
        <v>0.29982847341337909</v>
      </c>
      <c r="N123" s="78">
        <f t="shared" si="148"/>
        <v>0.33210332103321033</v>
      </c>
      <c r="O123" s="78">
        <f t="shared" si="148"/>
        <v>0.32278272337619518</v>
      </c>
      <c r="P123" s="78">
        <f t="shared" si="148"/>
        <v>0.2946370176586004</v>
      </c>
      <c r="Q123" s="56">
        <f t="shared" si="148"/>
        <v>0.31233836656377745</v>
      </c>
      <c r="R123" s="78">
        <f t="shared" si="148"/>
        <v>0.22828698935805011</v>
      </c>
      <c r="S123" s="78">
        <f t="shared" si="148"/>
        <v>0.32319391634980987</v>
      </c>
      <c r="T123" s="78">
        <f t="shared" si="148"/>
        <v>0.32362015769626329</v>
      </c>
      <c r="U123" s="78">
        <f t="shared" si="148"/>
        <v>0.26830188679245282</v>
      </c>
      <c r="V123" s="56">
        <f t="shared" si="148"/>
        <v>0.28620416776576102</v>
      </c>
      <c r="W123" s="78">
        <f t="shared" si="148"/>
        <v>0.31021897810218979</v>
      </c>
      <c r="X123" s="78">
        <f t="shared" si="148"/>
        <v>0.28747591522157995</v>
      </c>
      <c r="Y123" s="78">
        <f t="shared" si="148"/>
        <v>0.26744186046511625</v>
      </c>
      <c r="Z123" s="78">
        <f t="shared" si="148"/>
        <v>0.3176806859942834</v>
      </c>
      <c r="AA123" s="56">
        <f t="shared" si="148"/>
        <v>0.29587468379062076</v>
      </c>
      <c r="AB123" s="78">
        <f t="shared" si="148"/>
        <v>0.31642411642411644</v>
      </c>
      <c r="AC123" s="78">
        <f t="shared" si="148"/>
        <v>0.31646108039132287</v>
      </c>
      <c r="AD123" s="78">
        <f t="shared" si="148"/>
        <v>0.30066722268557133</v>
      </c>
      <c r="AE123" s="78">
        <f t="shared" si="148"/>
        <v>0.24616023246160232</v>
      </c>
      <c r="AF123" s="56">
        <f t="shared" si="148"/>
        <v>0.29478197218446095</v>
      </c>
      <c r="AG123" s="78">
        <f t="shared" si="148"/>
        <v>0.29770662051060148</v>
      </c>
      <c r="AH123" s="78">
        <f t="shared" ref="AH123:BA123" si="149">AH21/AH9</f>
        <v>0.5484444444444444</v>
      </c>
      <c r="AI123" s="78">
        <f t="shared" si="149"/>
        <v>0.30062724014336917</v>
      </c>
      <c r="AJ123" s="78">
        <f t="shared" si="149"/>
        <v>0.27984084880636606</v>
      </c>
      <c r="AK123" s="56">
        <v>0.35626725565985645</v>
      </c>
      <c r="AL123" s="78">
        <v>0.29254829806807725</v>
      </c>
      <c r="AM123" s="78">
        <v>0.30503265462927392</v>
      </c>
      <c r="AN123" s="78">
        <v>0.25057647963105306</v>
      </c>
      <c r="AO123" s="78">
        <v>0.18726016884113583</v>
      </c>
      <c r="AP123" s="56">
        <v>0.257386079118678</v>
      </c>
      <c r="AQ123" s="78">
        <v>0.22430636967565457</v>
      </c>
      <c r="AR123" s="78">
        <v>0.24532058940661092</v>
      </c>
      <c r="AS123" s="78">
        <v>0.23864541832669323</v>
      </c>
      <c r="AT123" s="78">
        <v>0.21246006389776359</v>
      </c>
      <c r="AU123" s="56">
        <v>0.23016660055533519</v>
      </c>
      <c r="AV123" s="78">
        <v>0.23073787199347737</v>
      </c>
      <c r="AW123" s="78">
        <v>0.23264311814859928</v>
      </c>
      <c r="AX123" s="78">
        <v>0.22525879917184266</v>
      </c>
      <c r="AY123" s="78">
        <v>0.17371847030105778</v>
      </c>
      <c r="AZ123" s="56">
        <v>0.21554806415364183</v>
      </c>
      <c r="BA123" s="78">
        <v>0.19567979669631513</v>
      </c>
    </row>
    <row r="124" spans="1:16384" s="36" customFormat="1" ht="11.25" customHeight="1">
      <c r="A124" s="69" t="s">
        <v>39</v>
      </c>
      <c r="B124" s="56">
        <f t="shared" ref="B124:AG124" si="150">B33/B9</f>
        <v>0.11943247126436782</v>
      </c>
      <c r="C124" s="78">
        <f t="shared" si="150"/>
        <v>0.14891304347826087</v>
      </c>
      <c r="D124" s="78">
        <f t="shared" si="150"/>
        <v>0.16593886462882096</v>
      </c>
      <c r="E124" s="78">
        <f t="shared" si="150"/>
        <v>0.1646471846044191</v>
      </c>
      <c r="F124" s="78">
        <f t="shared" si="150"/>
        <v>0.11032950758978156</v>
      </c>
      <c r="G124" s="56">
        <f t="shared" si="150"/>
        <v>0.14770767135724014</v>
      </c>
      <c r="H124" s="78">
        <f t="shared" si="150"/>
        <v>0.21784306700107489</v>
      </c>
      <c r="I124" s="78">
        <f t="shared" si="150"/>
        <v>0.18837047353760444</v>
      </c>
      <c r="J124" s="78">
        <f t="shared" si="150"/>
        <v>0.71409028727770174</v>
      </c>
      <c r="K124" s="78">
        <f t="shared" si="150"/>
        <v>0.12482946793997271</v>
      </c>
      <c r="L124" s="56">
        <f t="shared" si="150"/>
        <v>0.31278756836530947</v>
      </c>
      <c r="M124" s="78">
        <f t="shared" si="150"/>
        <v>0.22024013722126928</v>
      </c>
      <c r="N124" s="78">
        <f t="shared" si="150"/>
        <v>0.2140221402214022</v>
      </c>
      <c r="O124" s="78">
        <f t="shared" si="150"/>
        <v>0.19386745796241345</v>
      </c>
      <c r="P124" s="78">
        <f t="shared" si="150"/>
        <v>0.1880313930673643</v>
      </c>
      <c r="Q124" s="56">
        <f t="shared" si="150"/>
        <v>0.20380412113122551</v>
      </c>
      <c r="R124" s="78">
        <f t="shared" si="150"/>
        <v>0.13971850326124272</v>
      </c>
      <c r="S124" s="78">
        <f t="shared" si="150"/>
        <v>0.20221223643276875</v>
      </c>
      <c r="T124" s="78">
        <f t="shared" si="150"/>
        <v>0.18854988001371273</v>
      </c>
      <c r="U124" s="78">
        <f t="shared" si="150"/>
        <v>0.20075471698113206</v>
      </c>
      <c r="V124" s="56">
        <f t="shared" si="150"/>
        <v>0.18236173393124067</v>
      </c>
      <c r="W124" s="78">
        <f t="shared" si="150"/>
        <v>0.2124087591240876</v>
      </c>
      <c r="X124" s="78">
        <f t="shared" si="150"/>
        <v>0.15992292870905589</v>
      </c>
      <c r="Y124" s="78">
        <f t="shared" si="150"/>
        <v>0.13712910986367283</v>
      </c>
      <c r="Z124" s="78">
        <f t="shared" si="150"/>
        <v>0.21314822376480197</v>
      </c>
      <c r="AA124" s="56">
        <f t="shared" si="150"/>
        <v>0.1810663553220471</v>
      </c>
      <c r="AB124" s="78">
        <f t="shared" si="150"/>
        <v>0.20665280665280666</v>
      </c>
      <c r="AC124" s="78">
        <f t="shared" si="150"/>
        <v>0.20119098256061252</v>
      </c>
      <c r="AD124" s="78">
        <f t="shared" si="150"/>
        <v>0.18723936613844872</v>
      </c>
      <c r="AE124" s="78">
        <f t="shared" si="150"/>
        <v>0.14611872146118721</v>
      </c>
      <c r="AF124" s="56">
        <f t="shared" si="150"/>
        <v>0.18519293108857054</v>
      </c>
      <c r="AG124" s="78">
        <f t="shared" si="150"/>
        <v>0.1977498918217222</v>
      </c>
      <c r="AH124" s="78">
        <f t="shared" ref="AH124:BA124" si="151">AH33/AH9</f>
        <v>0.36</v>
      </c>
      <c r="AI124" s="78">
        <f t="shared" si="151"/>
        <v>0.1917562724014337</v>
      </c>
      <c r="AJ124" s="78">
        <f t="shared" si="151"/>
        <v>0.18390804597701149</v>
      </c>
      <c r="AK124" s="56">
        <v>0.2331308669243512</v>
      </c>
      <c r="AL124" s="78">
        <v>0.21297148114075437</v>
      </c>
      <c r="AM124" s="78">
        <v>0.18517095658855168</v>
      </c>
      <c r="AN124" s="78">
        <v>0.15641813989239048</v>
      </c>
      <c r="AO124" s="78">
        <v>0.14159631619339985</v>
      </c>
      <c r="AP124" s="56">
        <v>0.17235853780671007</v>
      </c>
      <c r="AQ124" s="78">
        <v>0.11254396248534584</v>
      </c>
      <c r="AR124" s="78">
        <v>0.15013938669852647</v>
      </c>
      <c r="AS124" s="78">
        <v>0.15697211155378485</v>
      </c>
      <c r="AT124" s="78">
        <v>7.3881789137380194E-2</v>
      </c>
      <c r="AU124" s="56">
        <v>0.12336374454581515</v>
      </c>
      <c r="AV124" s="78">
        <v>0.14268242967794537</v>
      </c>
      <c r="AW124" s="78">
        <v>0.14535119772634997</v>
      </c>
      <c r="AX124" s="78">
        <v>0.13333333333333333</v>
      </c>
      <c r="AY124" s="78">
        <v>8.3401139137510169E-2</v>
      </c>
      <c r="AZ124" s="56">
        <v>0.12616201859229748</v>
      </c>
      <c r="BA124" s="78">
        <v>0.11012282930961458</v>
      </c>
    </row>
    <row r="125" spans="1:16384" s="36" customFormat="1" ht="11.25" customHeight="1">
      <c r="A125" s="69" t="s">
        <v>10</v>
      </c>
      <c r="B125" s="56">
        <f t="shared" ref="B125:AG125" si="152">B39/B9</f>
        <v>0.34392959770114945</v>
      </c>
      <c r="C125" s="78">
        <f t="shared" si="152"/>
        <v>0.36557971014492752</v>
      </c>
      <c r="D125" s="78">
        <f t="shared" si="152"/>
        <v>0.41229985443959244</v>
      </c>
      <c r="E125" s="78">
        <f t="shared" si="152"/>
        <v>0.40627227369921598</v>
      </c>
      <c r="F125" s="78">
        <f t="shared" si="152"/>
        <v>0.30211032950758976</v>
      </c>
      <c r="G125" s="56">
        <f t="shared" si="152"/>
        <v>0.37203812982296869</v>
      </c>
      <c r="H125" s="78">
        <f t="shared" si="152"/>
        <v>0.41920458616983158</v>
      </c>
      <c r="I125" s="78">
        <f t="shared" si="152"/>
        <v>0.41608635097493035</v>
      </c>
      <c r="J125" s="78">
        <f t="shared" si="152"/>
        <v>0.42270861833105333</v>
      </c>
      <c r="K125" s="78">
        <f t="shared" si="152"/>
        <v>0.29195088676671216</v>
      </c>
      <c r="L125" s="56">
        <f t="shared" si="152"/>
        <v>0.38692594843302369</v>
      </c>
      <c r="M125" s="78">
        <f t="shared" si="152"/>
        <v>0.41749571183533446</v>
      </c>
      <c r="N125" s="78">
        <f t="shared" si="152"/>
        <v>0.44884267024488428</v>
      </c>
      <c r="O125" s="78">
        <f t="shared" si="152"/>
        <v>0.43818001978239368</v>
      </c>
      <c r="P125" s="78">
        <f t="shared" si="152"/>
        <v>0.41497710922171355</v>
      </c>
      <c r="Q125" s="56">
        <f t="shared" si="152"/>
        <v>0.4298823725702845</v>
      </c>
      <c r="R125" s="78">
        <f t="shared" si="152"/>
        <v>0.34328870580157911</v>
      </c>
      <c r="S125" s="78">
        <f t="shared" si="152"/>
        <v>0.44348427238161081</v>
      </c>
      <c r="T125" s="78">
        <f t="shared" si="152"/>
        <v>0.44600617072334592</v>
      </c>
      <c r="U125" s="78">
        <f t="shared" si="152"/>
        <v>0.40226415094339624</v>
      </c>
      <c r="V125" s="56">
        <f t="shared" si="152"/>
        <v>0.40886309680823002</v>
      </c>
      <c r="W125" s="78">
        <f t="shared" si="152"/>
        <v>0.44087591240875912</v>
      </c>
      <c r="X125" s="78">
        <f t="shared" si="152"/>
        <v>0.4254335260115607</v>
      </c>
      <c r="Y125" s="78">
        <f t="shared" si="152"/>
        <v>0.41138732959101842</v>
      </c>
      <c r="Z125" s="78">
        <f t="shared" si="152"/>
        <v>0.46508779093507552</v>
      </c>
      <c r="AA125" s="56">
        <f t="shared" si="152"/>
        <v>0.43559058182525784</v>
      </c>
      <c r="AB125" s="78">
        <f t="shared" si="152"/>
        <v>0.45280665280665283</v>
      </c>
      <c r="AC125" s="78">
        <f t="shared" si="152"/>
        <v>0.4551254785197788</v>
      </c>
      <c r="AD125" s="78">
        <f t="shared" si="152"/>
        <v>0.4378648874061718</v>
      </c>
      <c r="AE125" s="78">
        <f t="shared" si="152"/>
        <v>0.38231631382316311</v>
      </c>
      <c r="AF125" s="56">
        <f t="shared" si="152"/>
        <v>0.43187284325002612</v>
      </c>
      <c r="AG125" s="78">
        <f t="shared" si="152"/>
        <v>0.43357853742968411</v>
      </c>
      <c r="AH125" s="78">
        <f t="shared" ref="AH125:BA125" si="153">AH39/AH9</f>
        <v>0.69022222222222218</v>
      </c>
      <c r="AI125" s="78">
        <f t="shared" si="153"/>
        <v>0.44713261648745517</v>
      </c>
      <c r="AJ125" s="78">
        <f t="shared" si="153"/>
        <v>0.4217506631299735</v>
      </c>
      <c r="AK125" s="56">
        <v>0.49773605742683602</v>
      </c>
      <c r="AL125" s="78">
        <v>0.43836246550137997</v>
      </c>
      <c r="AM125" s="78">
        <v>0.47829427583557432</v>
      </c>
      <c r="AN125" s="78">
        <v>0.42621060722521137</v>
      </c>
      <c r="AO125" s="78">
        <v>0.36339217191097467</v>
      </c>
      <c r="AP125" s="56">
        <v>0.42603905858788182</v>
      </c>
      <c r="AQ125" s="78">
        <v>0.39976553341148885</v>
      </c>
      <c r="AR125" s="78">
        <v>0.42054958183990443</v>
      </c>
      <c r="AS125" s="78">
        <v>0.41474103585657368</v>
      </c>
      <c r="AT125" s="78">
        <v>0.37539936102236421</v>
      </c>
      <c r="AU125" s="56">
        <v>0.40261800872669573</v>
      </c>
      <c r="AV125" s="78">
        <v>0.40521810028536487</v>
      </c>
      <c r="AW125" s="78">
        <v>0.4047909053999188</v>
      </c>
      <c r="AX125" s="78">
        <v>0.40579710144927539</v>
      </c>
      <c r="AY125" s="78">
        <v>0.34743694060211555</v>
      </c>
      <c r="AZ125" s="56">
        <v>0.39074471345387679</v>
      </c>
      <c r="BA125" s="78">
        <v>0.41804320203303685</v>
      </c>
    </row>
    <row r="126" spans="1:16384" ht="11.65" customHeight="1">
      <c r="A126" s="69" t="s">
        <v>19</v>
      </c>
      <c r="B126" s="56">
        <f t="shared" ref="B126:AG126" si="154">B88/B9</f>
        <v>8.9031070402298851E-2</v>
      </c>
      <c r="C126" s="78">
        <f t="shared" si="154"/>
        <v>0.10384057971014493</v>
      </c>
      <c r="D126" s="78">
        <f t="shared" si="154"/>
        <v>0.12607205240174674</v>
      </c>
      <c r="E126" s="78">
        <f t="shared" si="154"/>
        <v>0.19214183891660727</v>
      </c>
      <c r="F126" s="78">
        <f t="shared" si="154"/>
        <v>0.13301110699740837</v>
      </c>
      <c r="G126" s="56">
        <f t="shared" si="154"/>
        <v>0.1390339536995007</v>
      </c>
      <c r="H126" s="78">
        <f t="shared" si="154"/>
        <v>0.14674453600859907</v>
      </c>
      <c r="I126" s="78">
        <f t="shared" si="154"/>
        <v>0.13269080779944289</v>
      </c>
      <c r="J126" s="78">
        <f t="shared" si="154"/>
        <v>0.13132694938440492</v>
      </c>
      <c r="K126" s="78">
        <f t="shared" si="154"/>
        <v>0.12290177353342428</v>
      </c>
      <c r="L126" s="56">
        <f t="shared" si="154"/>
        <v>0.13325809532077437</v>
      </c>
      <c r="M126" s="78">
        <f t="shared" si="154"/>
        <v>0.12658662092624356</v>
      </c>
      <c r="N126" s="78">
        <f t="shared" si="154"/>
        <v>0.13284132841328414</v>
      </c>
      <c r="O126" s="78">
        <f t="shared" si="154"/>
        <v>0.12396966699637323</v>
      </c>
      <c r="P126" s="78">
        <f t="shared" si="154"/>
        <v>0.15729234793982996</v>
      </c>
      <c r="Q126" s="56">
        <f t="shared" si="154"/>
        <v>0.13531325602736297</v>
      </c>
      <c r="R126" s="78">
        <f t="shared" si="154"/>
        <v>0.17164435290078955</v>
      </c>
      <c r="S126" s="78">
        <f t="shared" si="154"/>
        <v>0.15727618389215348</v>
      </c>
      <c r="T126" s="78">
        <f t="shared" si="154"/>
        <v>0.16420980459376072</v>
      </c>
      <c r="U126" s="78">
        <f t="shared" si="154"/>
        <v>0.1769811320754717</v>
      </c>
      <c r="V126" s="56">
        <f t="shared" si="154"/>
        <v>0.16732612327442187</v>
      </c>
      <c r="W126" s="78">
        <f t="shared" si="154"/>
        <v>0.16788321167883211</v>
      </c>
      <c r="X126" s="78">
        <f t="shared" si="154"/>
        <v>0.14720616570327552</v>
      </c>
      <c r="Y126" s="78">
        <f t="shared" si="154"/>
        <v>0.14715316760224539</v>
      </c>
      <c r="Z126" s="78">
        <f t="shared" si="154"/>
        <v>0.1351572070232748</v>
      </c>
      <c r="AA126" s="56">
        <f t="shared" si="154"/>
        <v>0.14983459817085035</v>
      </c>
      <c r="AB126" s="78">
        <f t="shared" si="154"/>
        <v>0.12016632016632017</v>
      </c>
      <c r="AC126" s="78">
        <f t="shared" si="154"/>
        <v>0.12803062526584433</v>
      </c>
      <c r="AD126" s="78">
        <f t="shared" si="154"/>
        <v>0.13344453711426188</v>
      </c>
      <c r="AE126" s="78">
        <f t="shared" si="154"/>
        <v>0.13200498132004981</v>
      </c>
      <c r="AF126" s="56">
        <f t="shared" si="154"/>
        <v>0.1284115863222838</v>
      </c>
      <c r="AG126" s="78">
        <f t="shared" si="154"/>
        <v>0.13630463003028992</v>
      </c>
      <c r="AH126" s="78">
        <f t="shared" ref="AH126:BA126" si="155">AH88/AH9</f>
        <v>0.14355555555555555</v>
      </c>
      <c r="AI126" s="78">
        <f t="shared" si="155"/>
        <v>0.1442652329749104</v>
      </c>
      <c r="AJ126" s="78">
        <f t="shared" si="155"/>
        <v>0.13925729442970822</v>
      </c>
      <c r="AK126" s="56">
        <v>0.14080618442849255</v>
      </c>
      <c r="AL126" s="78">
        <v>0.16927322907083717</v>
      </c>
      <c r="AM126" s="78">
        <v>0.19631194775259317</v>
      </c>
      <c r="AN126" s="78">
        <v>0.16410453497309763</v>
      </c>
      <c r="AO126" s="78">
        <v>0.12624712202609362</v>
      </c>
      <c r="AP126" s="56">
        <v>0.16374561842764146</v>
      </c>
      <c r="AQ126" s="78">
        <v>0.13481828839390386</v>
      </c>
      <c r="AR126" s="78">
        <v>0.15412186379928317</v>
      </c>
      <c r="AS126" s="78">
        <v>0.13904382470119522</v>
      </c>
      <c r="AT126" s="78">
        <v>0.13378594249201278</v>
      </c>
      <c r="AU126" s="56">
        <v>0.14042046806822689</v>
      </c>
      <c r="AV126" s="78">
        <v>0.15491235222176927</v>
      </c>
      <c r="AW126" s="78">
        <v>0.16483962647178238</v>
      </c>
      <c r="AX126" s="78">
        <v>0.14616977225672878</v>
      </c>
      <c r="AY126" s="78">
        <v>0.15907241659886087</v>
      </c>
      <c r="AZ126" s="56">
        <v>0.15629788538155073</v>
      </c>
      <c r="BA126" s="78">
        <v>0.15586615840745446</v>
      </c>
    </row>
    <row r="127" spans="1:16384" ht="3" customHeight="1">
      <c r="A127" s="44"/>
      <c r="B127" s="44"/>
      <c r="C127" s="45"/>
      <c r="D127" s="45"/>
      <c r="E127" s="45"/>
      <c r="F127" s="45"/>
      <c r="G127" s="45"/>
      <c r="H127" s="45"/>
      <c r="I127" s="45"/>
      <c r="J127" s="45"/>
      <c r="K127" s="45"/>
      <c r="L127" s="45"/>
      <c r="M127" s="45"/>
      <c r="N127" s="45"/>
      <c r="O127" s="45"/>
      <c r="P127" s="45"/>
      <c r="Q127" s="45"/>
      <c r="R127" s="45"/>
      <c r="S127" s="45"/>
      <c r="T127" s="45"/>
      <c r="U127" s="45"/>
      <c r="V127" s="45"/>
      <c r="W127" s="45"/>
      <c r="X127" s="45"/>
      <c r="Y127" s="45"/>
      <c r="Z127" s="45"/>
      <c r="AA127" s="45"/>
      <c r="AB127" s="45"/>
      <c r="AC127" s="45"/>
      <c r="AD127" s="45"/>
      <c r="AE127" s="45"/>
      <c r="AF127" s="45"/>
      <c r="AG127" s="45"/>
      <c r="AH127" s="45"/>
      <c r="AI127" s="45"/>
      <c r="AJ127" s="45"/>
      <c r="AK127" s="45"/>
      <c r="AL127" s="45"/>
      <c r="AM127" s="45"/>
      <c r="AN127" s="45"/>
      <c r="AO127" s="45"/>
      <c r="AP127" s="45"/>
      <c r="AQ127" s="45"/>
      <c r="AR127" s="45"/>
      <c r="AS127" s="45"/>
      <c r="AT127" s="45"/>
      <c r="AU127" s="45"/>
      <c r="AV127" s="45"/>
      <c r="AW127" s="45"/>
      <c r="AX127" s="45"/>
      <c r="AY127" s="45"/>
      <c r="AZ127" s="45"/>
      <c r="BA127" s="45"/>
    </row>
    <row r="128" spans="1:16384" ht="3" hidden="1" customHeight="1">
      <c r="A128" s="44"/>
      <c r="B128" s="44"/>
      <c r="C128" s="45"/>
      <c r="D128" s="45"/>
      <c r="E128" s="45"/>
      <c r="F128" s="45"/>
      <c r="G128" s="45"/>
      <c r="H128" s="45"/>
      <c r="I128" s="45"/>
      <c r="J128" s="45"/>
      <c r="K128" s="45"/>
      <c r="L128" s="45"/>
      <c r="M128" s="45"/>
      <c r="N128" s="45"/>
      <c r="O128" s="45"/>
      <c r="P128" s="45"/>
      <c r="Q128" s="45"/>
      <c r="R128" s="45"/>
      <c r="S128" s="45"/>
      <c r="T128" s="45"/>
      <c r="U128" s="45"/>
      <c r="V128" s="45"/>
      <c r="W128" s="45"/>
      <c r="X128" s="45"/>
      <c r="Y128" s="45"/>
      <c r="Z128" s="45"/>
      <c r="AA128" s="45"/>
      <c r="AB128" s="45"/>
      <c r="AC128" s="45"/>
      <c r="AD128" s="45"/>
      <c r="AE128" s="45"/>
      <c r="AF128" s="45"/>
      <c r="AG128" s="45"/>
      <c r="AH128" s="45"/>
      <c r="AI128" s="45"/>
      <c r="AJ128" s="45"/>
      <c r="AK128" s="45"/>
      <c r="AL128" s="45"/>
      <c r="AM128" s="45"/>
      <c r="AN128" s="45"/>
      <c r="AO128" s="45"/>
      <c r="AP128" s="45"/>
      <c r="AQ128" s="45"/>
      <c r="AR128" s="45"/>
      <c r="AS128" s="45"/>
      <c r="AT128" s="45"/>
      <c r="AU128" s="45"/>
      <c r="AV128" s="45"/>
      <c r="AW128" s="45"/>
      <c r="AX128" s="45"/>
      <c r="AY128" s="45"/>
      <c r="AZ128" s="45"/>
      <c r="BA128" s="45"/>
    </row>
    <row r="129" spans="1:53" ht="3" customHeight="1">
      <c r="A129" s="44"/>
      <c r="B129" s="44"/>
      <c r="C129" s="45"/>
      <c r="D129" s="45"/>
      <c r="E129" s="45"/>
      <c r="F129" s="45"/>
      <c r="G129" s="45"/>
      <c r="H129" s="45"/>
      <c r="I129" s="45"/>
      <c r="J129" s="45"/>
      <c r="K129" s="45"/>
      <c r="L129" s="45"/>
      <c r="M129" s="45"/>
      <c r="N129" s="45"/>
      <c r="O129" s="45"/>
      <c r="P129" s="45"/>
      <c r="Q129" s="45"/>
      <c r="R129" s="45"/>
      <c r="S129" s="45"/>
      <c r="T129" s="45"/>
      <c r="U129" s="45"/>
      <c r="V129" s="45"/>
      <c r="W129" s="45"/>
      <c r="X129" s="45"/>
      <c r="Y129" s="45"/>
      <c r="Z129" s="45"/>
      <c r="AA129" s="45"/>
      <c r="AB129" s="45"/>
      <c r="AC129" s="45"/>
      <c r="AD129" s="45"/>
      <c r="AE129" s="45"/>
      <c r="AF129" s="45"/>
      <c r="AG129" s="45"/>
      <c r="AH129" s="45"/>
      <c r="AI129" s="45"/>
      <c r="AJ129" s="45"/>
      <c r="AK129" s="45"/>
      <c r="AL129" s="45"/>
      <c r="AM129" s="45"/>
      <c r="AN129" s="45"/>
      <c r="AO129" s="45"/>
      <c r="AP129" s="45"/>
      <c r="AQ129" s="45"/>
      <c r="AR129" s="45"/>
      <c r="AS129" s="45"/>
      <c r="AT129" s="45"/>
      <c r="AU129" s="45"/>
      <c r="AV129" s="45"/>
      <c r="AW129" s="45"/>
      <c r="AX129" s="45"/>
      <c r="AY129" s="45"/>
      <c r="AZ129" s="45"/>
      <c r="BA129" s="45"/>
    </row>
    <row r="130" spans="1:53" ht="18" customHeight="1">
      <c r="A130" s="35" t="s">
        <v>102</v>
      </c>
      <c r="B130" s="35"/>
      <c r="C130" s="27"/>
      <c r="D130" s="27"/>
      <c r="E130" s="27"/>
      <c r="F130" s="27"/>
      <c r="G130" s="27"/>
      <c r="H130" s="27"/>
      <c r="I130" s="27"/>
      <c r="J130" s="27"/>
      <c r="K130" s="27"/>
      <c r="L130" s="27"/>
      <c r="M130" s="27"/>
      <c r="N130" s="27"/>
      <c r="O130" s="27"/>
      <c r="P130" s="27"/>
      <c r="Q130" s="27"/>
      <c r="R130" s="27"/>
      <c r="S130" s="27"/>
      <c r="T130" s="27"/>
      <c r="U130" s="21"/>
      <c r="V130" s="21"/>
      <c r="W130" s="27"/>
      <c r="X130" s="27"/>
      <c r="Y130" s="27"/>
      <c r="Z130" s="21"/>
      <c r="AA130" s="21"/>
      <c r="AB130" s="21"/>
      <c r="AC130" s="27"/>
      <c r="AD130" s="27"/>
      <c r="AE130" s="21"/>
      <c r="AF130" s="21"/>
      <c r="AG130" s="21"/>
      <c r="AH130" s="27"/>
      <c r="AI130" s="27"/>
      <c r="AJ130" s="21"/>
      <c r="AK130" s="21"/>
      <c r="AL130" s="21"/>
      <c r="AM130" s="27"/>
      <c r="AN130" s="27"/>
      <c r="AO130" s="21"/>
      <c r="AP130" s="21"/>
      <c r="AQ130" s="21"/>
      <c r="AR130" s="27"/>
      <c r="AS130" s="27"/>
      <c r="AT130" s="21"/>
      <c r="AU130" s="21"/>
      <c r="AV130" s="21"/>
      <c r="AW130" s="21"/>
      <c r="AX130" s="21"/>
      <c r="AY130" s="21"/>
      <c r="AZ130" s="21"/>
      <c r="BA130" s="21"/>
    </row>
    <row r="131" spans="1:53" ht="3.6" customHeight="1">
      <c r="A131" s="61"/>
      <c r="B131" s="61"/>
      <c r="C131" s="62"/>
      <c r="D131" s="62"/>
      <c r="E131" s="62"/>
      <c r="F131" s="62"/>
      <c r="G131" s="62"/>
      <c r="H131" s="62"/>
      <c r="I131" s="62"/>
      <c r="J131" s="62"/>
      <c r="K131" s="62"/>
      <c r="L131" s="62"/>
      <c r="M131" s="62"/>
      <c r="N131" s="62"/>
      <c r="O131" s="62"/>
      <c r="P131" s="62"/>
      <c r="Q131" s="62"/>
      <c r="R131" s="62"/>
      <c r="S131" s="62"/>
      <c r="T131" s="62"/>
      <c r="U131" s="61"/>
      <c r="V131" s="61"/>
      <c r="W131" s="62"/>
      <c r="X131" s="62"/>
      <c r="Y131" s="62"/>
      <c r="Z131" s="61"/>
      <c r="AA131" s="61"/>
      <c r="AB131" s="61"/>
      <c r="AC131" s="62"/>
      <c r="AD131" s="62"/>
      <c r="AE131" s="61"/>
      <c r="AF131" s="61"/>
      <c r="AG131" s="61"/>
      <c r="AH131" s="62"/>
      <c r="AI131" s="62"/>
      <c r="AJ131" s="61"/>
      <c r="AK131" s="61"/>
      <c r="AL131" s="61"/>
      <c r="AM131" s="62"/>
      <c r="AN131" s="62"/>
      <c r="AO131" s="61"/>
      <c r="AP131" s="61"/>
      <c r="AQ131" s="61"/>
      <c r="AR131" s="62"/>
      <c r="AS131" s="62"/>
      <c r="AT131" s="61"/>
      <c r="AU131" s="61"/>
      <c r="AV131" s="61"/>
      <c r="AW131" s="61"/>
      <c r="AX131" s="61"/>
      <c r="AY131" s="61"/>
      <c r="AZ131" s="61"/>
      <c r="BA131" s="61"/>
    </row>
    <row r="132" spans="1:53" ht="15" customHeight="1">
      <c r="A132" s="40" t="s">
        <v>256</v>
      </c>
      <c r="B132" s="41"/>
      <c r="C132" s="49"/>
      <c r="D132" s="49"/>
      <c r="E132" s="49"/>
      <c r="F132" s="49"/>
      <c r="G132" s="41"/>
      <c r="H132" s="49"/>
      <c r="I132" s="49"/>
      <c r="J132" s="49"/>
      <c r="K132" s="49"/>
      <c r="L132" s="41"/>
      <c r="M132" s="49"/>
      <c r="N132" s="49"/>
      <c r="O132" s="49"/>
      <c r="P132" s="49"/>
      <c r="Q132" s="41"/>
      <c r="R132" s="49"/>
      <c r="S132" s="49"/>
      <c r="T132" s="49"/>
      <c r="U132" s="49"/>
      <c r="V132" s="41"/>
      <c r="W132" s="49"/>
      <c r="X132" s="49"/>
      <c r="Y132" s="49"/>
      <c r="Z132" s="49"/>
      <c r="AA132" s="41"/>
      <c r="AB132" s="49"/>
      <c r="AC132" s="49"/>
      <c r="AD132" s="49"/>
      <c r="AE132" s="49"/>
      <c r="AF132" s="41"/>
      <c r="AG132" s="49"/>
      <c r="AH132" s="49"/>
      <c r="AI132" s="49"/>
      <c r="AJ132" s="49"/>
      <c r="AK132" s="41"/>
      <c r="AL132" s="49"/>
      <c r="AM132" s="49"/>
      <c r="AN132" s="49"/>
      <c r="AO132" s="49"/>
      <c r="AP132" s="41"/>
      <c r="AQ132" s="49"/>
      <c r="AR132" s="49"/>
      <c r="AS132" s="49"/>
      <c r="AT132" s="49"/>
      <c r="AU132" s="41"/>
      <c r="AV132" s="49"/>
      <c r="AW132" s="49"/>
      <c r="AX132" s="49"/>
      <c r="AY132" s="49"/>
      <c r="AZ132" s="41"/>
      <c r="BA132" s="49"/>
    </row>
    <row r="133" spans="1:53" ht="15" customHeight="1">
      <c r="A133" s="69" t="s">
        <v>227</v>
      </c>
      <c r="B133" s="123" t="s">
        <v>45</v>
      </c>
      <c r="C133" s="80" t="s">
        <v>53</v>
      </c>
      <c r="D133" s="80" t="s">
        <v>53</v>
      </c>
      <c r="E133" s="80" t="s">
        <v>53</v>
      </c>
      <c r="F133" s="80" t="s">
        <v>53</v>
      </c>
      <c r="G133" s="123" t="s">
        <v>45</v>
      </c>
      <c r="H133" s="80" t="s">
        <v>53</v>
      </c>
      <c r="I133" s="80" t="s">
        <v>53</v>
      </c>
      <c r="J133" s="80" t="s">
        <v>53</v>
      </c>
      <c r="K133" s="80" t="s">
        <v>53</v>
      </c>
      <c r="L133" s="123" t="s">
        <v>45</v>
      </c>
      <c r="M133" s="80" t="s">
        <v>53</v>
      </c>
      <c r="N133" s="80" t="s">
        <v>53</v>
      </c>
      <c r="O133" s="80" t="s">
        <v>53</v>
      </c>
      <c r="P133" s="80" t="s">
        <v>53</v>
      </c>
      <c r="Q133" s="123" t="s">
        <v>45</v>
      </c>
      <c r="R133" s="80" t="s">
        <v>53</v>
      </c>
      <c r="S133" s="80" t="s">
        <v>53</v>
      </c>
      <c r="T133" s="80" t="s">
        <v>53</v>
      </c>
      <c r="U133" s="80" t="s">
        <v>53</v>
      </c>
      <c r="V133" s="123" t="s">
        <v>45</v>
      </c>
      <c r="W133" s="80" t="s">
        <v>53</v>
      </c>
      <c r="X133" s="80" t="s">
        <v>53</v>
      </c>
      <c r="Y133" s="80" t="s">
        <v>53</v>
      </c>
      <c r="Z133" s="80" t="s">
        <v>53</v>
      </c>
      <c r="AA133" s="123" t="s">
        <v>45</v>
      </c>
      <c r="AB133" s="80" t="s">
        <v>53</v>
      </c>
      <c r="AC133" s="80" t="s">
        <v>53</v>
      </c>
      <c r="AD133" s="80" t="s">
        <v>53</v>
      </c>
      <c r="AE133" s="80" t="s">
        <v>53</v>
      </c>
      <c r="AF133" s="123" t="s">
        <v>45</v>
      </c>
      <c r="AG133" s="80" t="s">
        <v>53</v>
      </c>
      <c r="AH133" s="80" t="s">
        <v>53</v>
      </c>
      <c r="AI133" s="80" t="s">
        <v>53</v>
      </c>
      <c r="AJ133" s="80" t="s">
        <v>53</v>
      </c>
      <c r="AK133" s="123" t="s">
        <v>45</v>
      </c>
      <c r="AL133" s="80" t="s">
        <v>53</v>
      </c>
      <c r="AM133" s="80" t="s">
        <v>53</v>
      </c>
      <c r="AN133" s="80" t="s">
        <v>53</v>
      </c>
      <c r="AO133" s="80" t="s">
        <v>53</v>
      </c>
      <c r="AP133" s="171">
        <v>555</v>
      </c>
      <c r="AQ133" s="152">
        <v>1221</v>
      </c>
      <c r="AR133" s="152">
        <v>1338</v>
      </c>
      <c r="AS133" s="152">
        <v>938</v>
      </c>
      <c r="AT133" s="152">
        <v>648</v>
      </c>
      <c r="AU133" s="171">
        <v>648</v>
      </c>
      <c r="AV133" s="152">
        <v>792</v>
      </c>
      <c r="AW133" s="152">
        <v>1854</v>
      </c>
      <c r="AX133" s="152">
        <v>2471</v>
      </c>
      <c r="AY133" s="152">
        <v>2181</v>
      </c>
      <c r="AZ133" s="171">
        <v>2181</v>
      </c>
      <c r="BA133" s="152">
        <v>1826</v>
      </c>
    </row>
    <row r="134" spans="1:53" ht="15" customHeight="1">
      <c r="A134" s="69" t="s">
        <v>228</v>
      </c>
      <c r="B134" s="123" t="s">
        <v>45</v>
      </c>
      <c r="C134" s="80" t="s">
        <v>53</v>
      </c>
      <c r="D134" s="80" t="s">
        <v>53</v>
      </c>
      <c r="E134" s="80" t="s">
        <v>53</v>
      </c>
      <c r="F134" s="80" t="s">
        <v>53</v>
      </c>
      <c r="G134" s="123" t="s">
        <v>45</v>
      </c>
      <c r="H134" s="80" t="s">
        <v>53</v>
      </c>
      <c r="I134" s="80" t="s">
        <v>53</v>
      </c>
      <c r="J134" s="80" t="s">
        <v>53</v>
      </c>
      <c r="K134" s="80" t="s">
        <v>53</v>
      </c>
      <c r="L134" s="123" t="s">
        <v>45</v>
      </c>
      <c r="M134" s="80" t="s">
        <v>53</v>
      </c>
      <c r="N134" s="80" t="s">
        <v>53</v>
      </c>
      <c r="O134" s="80" t="s">
        <v>53</v>
      </c>
      <c r="P134" s="80" t="s">
        <v>53</v>
      </c>
      <c r="Q134" s="123" t="s">
        <v>45</v>
      </c>
      <c r="R134" s="80" t="s">
        <v>53</v>
      </c>
      <c r="S134" s="80" t="s">
        <v>53</v>
      </c>
      <c r="T134" s="80" t="s">
        <v>53</v>
      </c>
      <c r="U134" s="80" t="s">
        <v>53</v>
      </c>
      <c r="V134" s="123" t="s">
        <v>45</v>
      </c>
      <c r="W134" s="80" t="s">
        <v>53</v>
      </c>
      <c r="X134" s="80" t="s">
        <v>53</v>
      </c>
      <c r="Y134" s="80" t="s">
        <v>53</v>
      </c>
      <c r="Z134" s="80" t="s">
        <v>53</v>
      </c>
      <c r="AA134" s="123" t="s">
        <v>45</v>
      </c>
      <c r="AB134" s="80" t="s">
        <v>53</v>
      </c>
      <c r="AC134" s="80" t="s">
        <v>53</v>
      </c>
      <c r="AD134" s="80" t="s">
        <v>53</v>
      </c>
      <c r="AE134" s="80" t="s">
        <v>53</v>
      </c>
      <c r="AF134" s="123" t="s">
        <v>45</v>
      </c>
      <c r="AG134" s="80" t="s">
        <v>53</v>
      </c>
      <c r="AH134" s="80" t="s">
        <v>53</v>
      </c>
      <c r="AI134" s="80" t="s">
        <v>53</v>
      </c>
      <c r="AJ134" s="80" t="s">
        <v>53</v>
      </c>
      <c r="AK134" s="123" t="s">
        <v>45</v>
      </c>
      <c r="AL134" s="80" t="s">
        <v>53</v>
      </c>
      <c r="AM134" s="80" t="s">
        <v>53</v>
      </c>
      <c r="AN134" s="80" t="s">
        <v>53</v>
      </c>
      <c r="AO134" s="80" t="s">
        <v>53</v>
      </c>
      <c r="AP134" s="171">
        <v>762</v>
      </c>
      <c r="AQ134" s="152">
        <v>556</v>
      </c>
      <c r="AR134" s="152">
        <v>912</v>
      </c>
      <c r="AS134" s="152">
        <v>908</v>
      </c>
      <c r="AT134" s="152">
        <v>586</v>
      </c>
      <c r="AU134" s="171">
        <v>586</v>
      </c>
      <c r="AV134" s="152">
        <v>578</v>
      </c>
      <c r="AW134" s="152">
        <v>19</v>
      </c>
      <c r="AX134" s="152">
        <v>94</v>
      </c>
      <c r="AY134" s="152">
        <v>289</v>
      </c>
      <c r="AZ134" s="171">
        <v>289</v>
      </c>
      <c r="BA134" s="152">
        <v>1390</v>
      </c>
    </row>
    <row r="135" spans="1:53" ht="15" customHeight="1">
      <c r="A135" s="69" t="s">
        <v>229</v>
      </c>
      <c r="B135" s="123" t="s">
        <v>45</v>
      </c>
      <c r="C135" s="80" t="s">
        <v>53</v>
      </c>
      <c r="D135" s="80" t="s">
        <v>53</v>
      </c>
      <c r="E135" s="80" t="s">
        <v>53</v>
      </c>
      <c r="F135" s="80" t="s">
        <v>53</v>
      </c>
      <c r="G135" s="123" t="s">
        <v>45</v>
      </c>
      <c r="H135" s="80" t="s">
        <v>53</v>
      </c>
      <c r="I135" s="80" t="s">
        <v>53</v>
      </c>
      <c r="J135" s="80" t="s">
        <v>53</v>
      </c>
      <c r="K135" s="80" t="s">
        <v>53</v>
      </c>
      <c r="L135" s="123" t="s">
        <v>45</v>
      </c>
      <c r="M135" s="80" t="s">
        <v>53</v>
      </c>
      <c r="N135" s="80" t="s">
        <v>53</v>
      </c>
      <c r="O135" s="80" t="s">
        <v>53</v>
      </c>
      <c r="P135" s="80" t="s">
        <v>53</v>
      </c>
      <c r="Q135" s="123" t="s">
        <v>45</v>
      </c>
      <c r="R135" s="80" t="s">
        <v>53</v>
      </c>
      <c r="S135" s="80" t="s">
        <v>53</v>
      </c>
      <c r="T135" s="80" t="s">
        <v>53</v>
      </c>
      <c r="U135" s="80" t="s">
        <v>53</v>
      </c>
      <c r="V135" s="123" t="s">
        <v>45</v>
      </c>
      <c r="W135" s="80" t="s">
        <v>53</v>
      </c>
      <c r="X135" s="80" t="s">
        <v>53</v>
      </c>
      <c r="Y135" s="80" t="s">
        <v>53</v>
      </c>
      <c r="Z135" s="80" t="s">
        <v>53</v>
      </c>
      <c r="AA135" s="123" t="s">
        <v>45</v>
      </c>
      <c r="AB135" s="80" t="s">
        <v>53</v>
      </c>
      <c r="AC135" s="80" t="s">
        <v>53</v>
      </c>
      <c r="AD135" s="80" t="s">
        <v>53</v>
      </c>
      <c r="AE135" s="80" t="s">
        <v>53</v>
      </c>
      <c r="AF135" s="123" t="s">
        <v>45</v>
      </c>
      <c r="AG135" s="80" t="s">
        <v>53</v>
      </c>
      <c r="AH135" s="80" t="s">
        <v>53</v>
      </c>
      <c r="AI135" s="80" t="s">
        <v>53</v>
      </c>
      <c r="AJ135" s="80" t="s">
        <v>53</v>
      </c>
      <c r="AK135" s="123" t="s">
        <v>45</v>
      </c>
      <c r="AL135" s="80" t="s">
        <v>53</v>
      </c>
      <c r="AM135" s="80" t="s">
        <v>53</v>
      </c>
      <c r="AN135" s="80" t="s">
        <v>53</v>
      </c>
      <c r="AO135" s="80" t="s">
        <v>53</v>
      </c>
      <c r="AP135" s="171">
        <v>2058</v>
      </c>
      <c r="AQ135" s="152">
        <v>2042</v>
      </c>
      <c r="AR135" s="152">
        <v>2029</v>
      </c>
      <c r="AS135" s="152">
        <v>1998</v>
      </c>
      <c r="AT135" s="152">
        <v>2000</v>
      </c>
      <c r="AU135" s="171">
        <v>2000</v>
      </c>
      <c r="AV135" s="152">
        <v>1976</v>
      </c>
      <c r="AW135" s="152">
        <v>1991</v>
      </c>
      <c r="AX135" s="152">
        <v>1948</v>
      </c>
      <c r="AY135" s="152">
        <v>1915</v>
      </c>
      <c r="AZ135" s="171">
        <v>1915</v>
      </c>
      <c r="BA135" s="152">
        <v>1827</v>
      </c>
    </row>
    <row r="136" spans="1:53" ht="15" customHeight="1">
      <c r="A136" s="69" t="s">
        <v>230</v>
      </c>
      <c r="B136" s="123" t="s">
        <v>45</v>
      </c>
      <c r="C136" s="80" t="s">
        <v>53</v>
      </c>
      <c r="D136" s="80" t="s">
        <v>53</v>
      </c>
      <c r="E136" s="80" t="s">
        <v>53</v>
      </c>
      <c r="F136" s="80" t="s">
        <v>53</v>
      </c>
      <c r="G136" s="123" t="s">
        <v>45</v>
      </c>
      <c r="H136" s="80" t="s">
        <v>53</v>
      </c>
      <c r="I136" s="80" t="s">
        <v>53</v>
      </c>
      <c r="J136" s="80" t="s">
        <v>53</v>
      </c>
      <c r="K136" s="80" t="s">
        <v>53</v>
      </c>
      <c r="L136" s="123" t="s">
        <v>45</v>
      </c>
      <c r="M136" s="80" t="s">
        <v>53</v>
      </c>
      <c r="N136" s="80" t="s">
        <v>53</v>
      </c>
      <c r="O136" s="80" t="s">
        <v>53</v>
      </c>
      <c r="P136" s="80" t="s">
        <v>53</v>
      </c>
      <c r="Q136" s="123" t="s">
        <v>45</v>
      </c>
      <c r="R136" s="80" t="s">
        <v>53</v>
      </c>
      <c r="S136" s="80" t="s">
        <v>53</v>
      </c>
      <c r="T136" s="80" t="s">
        <v>53</v>
      </c>
      <c r="U136" s="80" t="s">
        <v>53</v>
      </c>
      <c r="V136" s="123" t="s">
        <v>45</v>
      </c>
      <c r="W136" s="80" t="s">
        <v>53</v>
      </c>
      <c r="X136" s="80" t="s">
        <v>53</v>
      </c>
      <c r="Y136" s="80" t="s">
        <v>53</v>
      </c>
      <c r="Z136" s="80" t="s">
        <v>53</v>
      </c>
      <c r="AA136" s="123" t="s">
        <v>45</v>
      </c>
      <c r="AB136" s="80" t="s">
        <v>53</v>
      </c>
      <c r="AC136" s="80" t="s">
        <v>53</v>
      </c>
      <c r="AD136" s="80" t="s">
        <v>53</v>
      </c>
      <c r="AE136" s="80" t="s">
        <v>53</v>
      </c>
      <c r="AF136" s="123" t="s">
        <v>45</v>
      </c>
      <c r="AG136" s="80" t="s">
        <v>53</v>
      </c>
      <c r="AH136" s="80" t="s">
        <v>53</v>
      </c>
      <c r="AI136" s="80" t="s">
        <v>53</v>
      </c>
      <c r="AJ136" s="80" t="s">
        <v>53</v>
      </c>
      <c r="AK136" s="123" t="s">
        <v>45</v>
      </c>
      <c r="AL136" s="80" t="s">
        <v>53</v>
      </c>
      <c r="AM136" s="80" t="s">
        <v>53</v>
      </c>
      <c r="AN136" s="80" t="s">
        <v>53</v>
      </c>
      <c r="AO136" s="80" t="s">
        <v>53</v>
      </c>
      <c r="AP136" s="171">
        <v>269</v>
      </c>
      <c r="AQ136" s="152">
        <v>299</v>
      </c>
      <c r="AR136" s="152">
        <v>205</v>
      </c>
      <c r="AS136" s="152">
        <v>191</v>
      </c>
      <c r="AT136" s="152">
        <v>219</v>
      </c>
      <c r="AU136" s="171">
        <v>219</v>
      </c>
      <c r="AV136" s="152">
        <v>297</v>
      </c>
      <c r="AW136" s="152">
        <v>347</v>
      </c>
      <c r="AX136" s="152">
        <v>294</v>
      </c>
      <c r="AY136" s="152">
        <v>270</v>
      </c>
      <c r="AZ136" s="171">
        <v>270</v>
      </c>
      <c r="BA136" s="152">
        <v>306</v>
      </c>
    </row>
    <row r="137" spans="1:53" ht="15" customHeight="1">
      <c r="A137" s="69" t="s">
        <v>231</v>
      </c>
      <c r="B137" s="123" t="s">
        <v>45</v>
      </c>
      <c r="C137" s="80" t="s">
        <v>53</v>
      </c>
      <c r="D137" s="80" t="s">
        <v>53</v>
      </c>
      <c r="E137" s="80" t="s">
        <v>53</v>
      </c>
      <c r="F137" s="80" t="s">
        <v>53</v>
      </c>
      <c r="G137" s="123" t="s">
        <v>45</v>
      </c>
      <c r="H137" s="80" t="s">
        <v>53</v>
      </c>
      <c r="I137" s="80" t="s">
        <v>53</v>
      </c>
      <c r="J137" s="80" t="s">
        <v>53</v>
      </c>
      <c r="K137" s="80" t="s">
        <v>53</v>
      </c>
      <c r="L137" s="123" t="s">
        <v>45</v>
      </c>
      <c r="M137" s="80" t="s">
        <v>53</v>
      </c>
      <c r="N137" s="80" t="s">
        <v>53</v>
      </c>
      <c r="O137" s="80" t="s">
        <v>53</v>
      </c>
      <c r="P137" s="80" t="s">
        <v>53</v>
      </c>
      <c r="Q137" s="123" t="s">
        <v>45</v>
      </c>
      <c r="R137" s="80" t="s">
        <v>53</v>
      </c>
      <c r="S137" s="80" t="s">
        <v>53</v>
      </c>
      <c r="T137" s="80" t="s">
        <v>53</v>
      </c>
      <c r="U137" s="80" t="s">
        <v>53</v>
      </c>
      <c r="V137" s="123" t="s">
        <v>45</v>
      </c>
      <c r="W137" s="80" t="s">
        <v>53</v>
      </c>
      <c r="X137" s="80" t="s">
        <v>53</v>
      </c>
      <c r="Y137" s="80" t="s">
        <v>53</v>
      </c>
      <c r="Z137" s="80" t="s">
        <v>53</v>
      </c>
      <c r="AA137" s="123" t="s">
        <v>45</v>
      </c>
      <c r="AB137" s="80" t="s">
        <v>53</v>
      </c>
      <c r="AC137" s="80" t="s">
        <v>53</v>
      </c>
      <c r="AD137" s="80" t="s">
        <v>53</v>
      </c>
      <c r="AE137" s="80" t="s">
        <v>53</v>
      </c>
      <c r="AF137" s="123" t="s">
        <v>45</v>
      </c>
      <c r="AG137" s="80" t="s">
        <v>53</v>
      </c>
      <c r="AH137" s="80" t="s">
        <v>53</v>
      </c>
      <c r="AI137" s="80" t="s">
        <v>53</v>
      </c>
      <c r="AJ137" s="80" t="s">
        <v>53</v>
      </c>
      <c r="AK137" s="123" t="s">
        <v>45</v>
      </c>
      <c r="AL137" s="80" t="s">
        <v>53</v>
      </c>
      <c r="AM137" s="80" t="s">
        <v>53</v>
      </c>
      <c r="AN137" s="80" t="s">
        <v>53</v>
      </c>
      <c r="AO137" s="80" t="s">
        <v>53</v>
      </c>
      <c r="AP137" s="215" t="s">
        <v>152</v>
      </c>
      <c r="AQ137" s="151" t="s">
        <v>152</v>
      </c>
      <c r="AR137" s="152">
        <v>29</v>
      </c>
      <c r="AS137" s="152">
        <v>29</v>
      </c>
      <c r="AT137" s="151" t="s">
        <v>152</v>
      </c>
      <c r="AU137" s="215" t="s">
        <v>152</v>
      </c>
      <c r="AV137" s="151">
        <v>35</v>
      </c>
      <c r="AW137" s="152">
        <v>56</v>
      </c>
      <c r="AX137" s="152">
        <v>43</v>
      </c>
      <c r="AY137" s="152">
        <v>43</v>
      </c>
      <c r="AZ137" s="171">
        <v>43</v>
      </c>
      <c r="BA137" s="151">
        <v>25</v>
      </c>
    </row>
    <row r="138" spans="1:53" ht="15" customHeight="1">
      <c r="A138" s="69" t="s">
        <v>232</v>
      </c>
      <c r="B138" s="123" t="s">
        <v>45</v>
      </c>
      <c r="C138" s="80" t="s">
        <v>53</v>
      </c>
      <c r="D138" s="80" t="s">
        <v>53</v>
      </c>
      <c r="E138" s="80" t="s">
        <v>53</v>
      </c>
      <c r="F138" s="80" t="s">
        <v>53</v>
      </c>
      <c r="G138" s="123" t="s">
        <v>45</v>
      </c>
      <c r="H138" s="80" t="s">
        <v>53</v>
      </c>
      <c r="I138" s="80" t="s">
        <v>53</v>
      </c>
      <c r="J138" s="80" t="s">
        <v>53</v>
      </c>
      <c r="K138" s="80" t="s">
        <v>53</v>
      </c>
      <c r="L138" s="123" t="s">
        <v>45</v>
      </c>
      <c r="M138" s="80" t="s">
        <v>53</v>
      </c>
      <c r="N138" s="80" t="s">
        <v>53</v>
      </c>
      <c r="O138" s="80" t="s">
        <v>53</v>
      </c>
      <c r="P138" s="80" t="s">
        <v>53</v>
      </c>
      <c r="Q138" s="123" t="s">
        <v>45</v>
      </c>
      <c r="R138" s="80" t="s">
        <v>53</v>
      </c>
      <c r="S138" s="80" t="s">
        <v>53</v>
      </c>
      <c r="T138" s="80" t="s">
        <v>53</v>
      </c>
      <c r="U138" s="80" t="s">
        <v>53</v>
      </c>
      <c r="V138" s="123" t="s">
        <v>45</v>
      </c>
      <c r="W138" s="80" t="s">
        <v>53</v>
      </c>
      <c r="X138" s="80" t="s">
        <v>53</v>
      </c>
      <c r="Y138" s="80" t="s">
        <v>53</v>
      </c>
      <c r="Z138" s="80" t="s">
        <v>53</v>
      </c>
      <c r="AA138" s="123" t="s">
        <v>45</v>
      </c>
      <c r="AB138" s="80" t="s">
        <v>53</v>
      </c>
      <c r="AC138" s="80" t="s">
        <v>53</v>
      </c>
      <c r="AD138" s="80" t="s">
        <v>53</v>
      </c>
      <c r="AE138" s="80" t="s">
        <v>53</v>
      </c>
      <c r="AF138" s="123" t="s">
        <v>45</v>
      </c>
      <c r="AG138" s="80" t="s">
        <v>53</v>
      </c>
      <c r="AH138" s="80" t="s">
        <v>53</v>
      </c>
      <c r="AI138" s="80" t="s">
        <v>53</v>
      </c>
      <c r="AJ138" s="80" t="s">
        <v>53</v>
      </c>
      <c r="AK138" s="123" t="s">
        <v>45</v>
      </c>
      <c r="AL138" s="80" t="s">
        <v>53</v>
      </c>
      <c r="AM138" s="80" t="s">
        <v>53</v>
      </c>
      <c r="AN138" s="80" t="s">
        <v>53</v>
      </c>
      <c r="AO138" s="80" t="s">
        <v>53</v>
      </c>
      <c r="AP138" s="171">
        <v>115</v>
      </c>
      <c r="AQ138" s="152">
        <v>123</v>
      </c>
      <c r="AR138" s="152">
        <v>109</v>
      </c>
      <c r="AS138" s="152">
        <v>96</v>
      </c>
      <c r="AT138" s="152">
        <v>106</v>
      </c>
      <c r="AU138" s="171">
        <v>106</v>
      </c>
      <c r="AV138" s="152">
        <v>114</v>
      </c>
      <c r="AW138" s="152">
        <v>105</v>
      </c>
      <c r="AX138" s="152">
        <v>101</v>
      </c>
      <c r="AY138" s="152">
        <v>125</v>
      </c>
      <c r="AZ138" s="171">
        <v>125</v>
      </c>
      <c r="BA138" s="152">
        <v>130</v>
      </c>
    </row>
    <row r="139" spans="1:53" ht="15" customHeight="1">
      <c r="A139" s="40" t="s">
        <v>233</v>
      </c>
      <c r="B139" s="40"/>
      <c r="C139" s="214"/>
      <c r="D139" s="214"/>
      <c r="E139" s="214"/>
      <c r="F139" s="214"/>
      <c r="G139" s="40"/>
      <c r="H139" s="214"/>
      <c r="I139" s="214"/>
      <c r="J139" s="214"/>
      <c r="K139" s="214"/>
      <c r="L139" s="40"/>
      <c r="M139" s="214"/>
      <c r="N139" s="214"/>
      <c r="O139" s="214"/>
      <c r="P139" s="214"/>
      <c r="Q139" s="40"/>
      <c r="R139" s="214"/>
      <c r="S139" s="214"/>
      <c r="T139" s="214"/>
      <c r="U139" s="214"/>
      <c r="V139" s="40"/>
      <c r="W139" s="214"/>
      <c r="X139" s="214"/>
      <c r="Y139" s="214"/>
      <c r="Z139" s="214"/>
      <c r="AA139" s="40"/>
      <c r="AB139" s="214"/>
      <c r="AC139" s="214"/>
      <c r="AD139" s="214"/>
      <c r="AE139" s="214"/>
      <c r="AF139" s="40"/>
      <c r="AG139" s="214"/>
      <c r="AH139" s="214"/>
      <c r="AI139" s="214"/>
      <c r="AJ139" s="214"/>
      <c r="AK139" s="214"/>
      <c r="AL139" s="214"/>
      <c r="AM139" s="214"/>
      <c r="AN139" s="214"/>
      <c r="AO139" s="214"/>
      <c r="AP139" s="214">
        <v>3759</v>
      </c>
      <c r="AQ139" s="214">
        <v>4241</v>
      </c>
      <c r="AR139" s="214">
        <v>4622</v>
      </c>
      <c r="AS139" s="214">
        <v>4160</v>
      </c>
      <c r="AT139" s="214">
        <v>3559</v>
      </c>
      <c r="AU139" s="214">
        <v>3559</v>
      </c>
      <c r="AV139" s="214">
        <v>3792</v>
      </c>
      <c r="AW139" s="214">
        <v>4372</v>
      </c>
      <c r="AX139" s="214">
        <v>4951</v>
      </c>
      <c r="AY139" s="214">
        <v>4823</v>
      </c>
      <c r="AZ139" s="214">
        <v>4823</v>
      </c>
      <c r="BA139" s="214">
        <v>5504</v>
      </c>
    </row>
    <row r="140" spans="1:53" ht="15" customHeight="1">
      <c r="A140" s="69" t="s">
        <v>234</v>
      </c>
      <c r="B140" s="123" t="s">
        <v>45</v>
      </c>
      <c r="C140" s="80" t="s">
        <v>53</v>
      </c>
      <c r="D140" s="80" t="s">
        <v>53</v>
      </c>
      <c r="E140" s="80" t="s">
        <v>53</v>
      </c>
      <c r="F140" s="80" t="s">
        <v>53</v>
      </c>
      <c r="G140" s="123" t="s">
        <v>45</v>
      </c>
      <c r="H140" s="80" t="s">
        <v>53</v>
      </c>
      <c r="I140" s="80" t="s">
        <v>53</v>
      </c>
      <c r="J140" s="80" t="s">
        <v>53</v>
      </c>
      <c r="K140" s="80" t="s">
        <v>53</v>
      </c>
      <c r="L140" s="123" t="s">
        <v>45</v>
      </c>
      <c r="M140" s="80" t="s">
        <v>53</v>
      </c>
      <c r="N140" s="80" t="s">
        <v>53</v>
      </c>
      <c r="O140" s="80" t="s">
        <v>53</v>
      </c>
      <c r="P140" s="80" t="s">
        <v>53</v>
      </c>
      <c r="Q140" s="123" t="s">
        <v>45</v>
      </c>
      <c r="R140" s="80" t="s">
        <v>53</v>
      </c>
      <c r="S140" s="80" t="s">
        <v>53</v>
      </c>
      <c r="T140" s="80" t="s">
        <v>53</v>
      </c>
      <c r="U140" s="80" t="s">
        <v>53</v>
      </c>
      <c r="V140" s="123" t="s">
        <v>45</v>
      </c>
      <c r="W140" s="80" t="s">
        <v>53</v>
      </c>
      <c r="X140" s="80" t="s">
        <v>53</v>
      </c>
      <c r="Y140" s="80" t="s">
        <v>53</v>
      </c>
      <c r="Z140" s="80" t="s">
        <v>53</v>
      </c>
      <c r="AA140" s="123" t="s">
        <v>45</v>
      </c>
      <c r="AB140" s="80" t="s">
        <v>53</v>
      </c>
      <c r="AC140" s="80" t="s">
        <v>53</v>
      </c>
      <c r="AD140" s="80" t="s">
        <v>53</v>
      </c>
      <c r="AE140" s="80" t="s">
        <v>53</v>
      </c>
      <c r="AF140" s="123" t="s">
        <v>45</v>
      </c>
      <c r="AG140" s="80" t="s">
        <v>53</v>
      </c>
      <c r="AH140" s="80" t="s">
        <v>53</v>
      </c>
      <c r="AI140" s="80" t="s">
        <v>53</v>
      </c>
      <c r="AJ140" s="80" t="s">
        <v>53</v>
      </c>
      <c r="AK140" s="123" t="s">
        <v>45</v>
      </c>
      <c r="AL140" s="80" t="s">
        <v>53</v>
      </c>
      <c r="AM140" s="80" t="s">
        <v>53</v>
      </c>
      <c r="AN140" s="80" t="s">
        <v>53</v>
      </c>
      <c r="AO140" s="80" t="s">
        <v>53</v>
      </c>
      <c r="AP140" s="171">
        <v>674</v>
      </c>
      <c r="AQ140" s="152">
        <v>662</v>
      </c>
      <c r="AR140" s="152">
        <v>647</v>
      </c>
      <c r="AS140" s="152">
        <v>641</v>
      </c>
      <c r="AT140" s="152">
        <v>644</v>
      </c>
      <c r="AU140" s="171">
        <v>644</v>
      </c>
      <c r="AV140" s="152">
        <v>595</v>
      </c>
      <c r="AW140" s="152">
        <v>507</v>
      </c>
      <c r="AX140" s="152">
        <v>520</v>
      </c>
      <c r="AY140" s="152">
        <v>493</v>
      </c>
      <c r="AZ140" s="171">
        <v>493</v>
      </c>
      <c r="BA140" s="152">
        <v>466</v>
      </c>
    </row>
    <row r="141" spans="1:53" ht="15" customHeight="1">
      <c r="A141" s="69" t="s">
        <v>235</v>
      </c>
      <c r="B141" s="123" t="s">
        <v>45</v>
      </c>
      <c r="C141" s="80" t="s">
        <v>53</v>
      </c>
      <c r="D141" s="80" t="s">
        <v>53</v>
      </c>
      <c r="E141" s="80" t="s">
        <v>53</v>
      </c>
      <c r="F141" s="80" t="s">
        <v>53</v>
      </c>
      <c r="G141" s="123" t="s">
        <v>45</v>
      </c>
      <c r="H141" s="80" t="s">
        <v>53</v>
      </c>
      <c r="I141" s="80" t="s">
        <v>53</v>
      </c>
      <c r="J141" s="80" t="s">
        <v>53</v>
      </c>
      <c r="K141" s="80" t="s">
        <v>53</v>
      </c>
      <c r="L141" s="123" t="s">
        <v>45</v>
      </c>
      <c r="M141" s="80" t="s">
        <v>53</v>
      </c>
      <c r="N141" s="80" t="s">
        <v>53</v>
      </c>
      <c r="O141" s="80" t="s">
        <v>53</v>
      </c>
      <c r="P141" s="80" t="s">
        <v>53</v>
      </c>
      <c r="Q141" s="123" t="s">
        <v>45</v>
      </c>
      <c r="R141" s="80" t="s">
        <v>53</v>
      </c>
      <c r="S141" s="80" t="s">
        <v>53</v>
      </c>
      <c r="T141" s="80" t="s">
        <v>53</v>
      </c>
      <c r="U141" s="80" t="s">
        <v>53</v>
      </c>
      <c r="V141" s="123" t="s">
        <v>45</v>
      </c>
      <c r="W141" s="80" t="s">
        <v>53</v>
      </c>
      <c r="X141" s="80" t="s">
        <v>53</v>
      </c>
      <c r="Y141" s="80" t="s">
        <v>53</v>
      </c>
      <c r="Z141" s="80" t="s">
        <v>53</v>
      </c>
      <c r="AA141" s="123" t="s">
        <v>45</v>
      </c>
      <c r="AB141" s="80" t="s">
        <v>53</v>
      </c>
      <c r="AC141" s="80" t="s">
        <v>53</v>
      </c>
      <c r="AD141" s="80" t="s">
        <v>53</v>
      </c>
      <c r="AE141" s="80" t="s">
        <v>53</v>
      </c>
      <c r="AF141" s="123" t="s">
        <v>45</v>
      </c>
      <c r="AG141" s="80" t="s">
        <v>53</v>
      </c>
      <c r="AH141" s="80" t="s">
        <v>53</v>
      </c>
      <c r="AI141" s="80" t="s">
        <v>53</v>
      </c>
      <c r="AJ141" s="80" t="s">
        <v>53</v>
      </c>
      <c r="AK141" s="123" t="s">
        <v>45</v>
      </c>
      <c r="AL141" s="80" t="s">
        <v>53</v>
      </c>
      <c r="AM141" s="80" t="s">
        <v>53</v>
      </c>
      <c r="AN141" s="80" t="s">
        <v>53</v>
      </c>
      <c r="AO141" s="80" t="s">
        <v>53</v>
      </c>
      <c r="AP141" s="171">
        <v>456</v>
      </c>
      <c r="AQ141" s="152">
        <v>456</v>
      </c>
      <c r="AR141" s="152">
        <v>455</v>
      </c>
      <c r="AS141" s="152">
        <v>450</v>
      </c>
      <c r="AT141" s="152">
        <v>432</v>
      </c>
      <c r="AU141" s="171">
        <v>432</v>
      </c>
      <c r="AV141" s="152">
        <v>438</v>
      </c>
      <c r="AW141" s="152">
        <v>456</v>
      </c>
      <c r="AX141" s="152">
        <v>457</v>
      </c>
      <c r="AY141" s="152">
        <v>454</v>
      </c>
      <c r="AZ141" s="171">
        <v>454</v>
      </c>
      <c r="BA141" s="152">
        <v>451</v>
      </c>
    </row>
    <row r="142" spans="1:53" ht="15" customHeight="1">
      <c r="A142" s="69" t="s">
        <v>272</v>
      </c>
      <c r="B142" s="123"/>
      <c r="C142" s="80"/>
      <c r="D142" s="80"/>
      <c r="E142" s="80"/>
      <c r="F142" s="80"/>
      <c r="G142" s="123"/>
      <c r="H142" s="80"/>
      <c r="I142" s="80"/>
      <c r="J142" s="80"/>
      <c r="K142" s="80"/>
      <c r="L142" s="123"/>
      <c r="M142" s="80"/>
      <c r="N142" s="80"/>
      <c r="O142" s="80"/>
      <c r="P142" s="80"/>
      <c r="Q142" s="123"/>
      <c r="R142" s="80"/>
      <c r="S142" s="80"/>
      <c r="T142" s="80"/>
      <c r="U142" s="80"/>
      <c r="V142" s="123"/>
      <c r="W142" s="80"/>
      <c r="X142" s="80"/>
      <c r="Y142" s="80"/>
      <c r="Z142" s="80"/>
      <c r="AA142" s="123"/>
      <c r="AB142" s="80"/>
      <c r="AC142" s="80"/>
      <c r="AD142" s="80"/>
      <c r="AE142" s="80"/>
      <c r="AF142" s="123"/>
      <c r="AG142" s="80"/>
      <c r="AH142" s="80"/>
      <c r="AI142" s="80"/>
      <c r="AJ142" s="80"/>
      <c r="AK142" s="123"/>
      <c r="AL142" s="80"/>
      <c r="AM142" s="80"/>
      <c r="AN142" s="80"/>
      <c r="AO142" s="80"/>
      <c r="AP142" s="171"/>
      <c r="AQ142" s="152"/>
      <c r="AR142" s="152"/>
      <c r="AS142" s="152"/>
      <c r="AT142" s="152"/>
      <c r="AU142" s="171"/>
      <c r="AV142" s="152"/>
      <c r="AW142" s="152"/>
      <c r="AX142" s="152"/>
      <c r="AY142" s="152"/>
      <c r="AZ142" s="171"/>
      <c r="BA142" s="152">
        <v>1417</v>
      </c>
    </row>
    <row r="143" spans="1:53" ht="15" customHeight="1">
      <c r="A143" s="69" t="s">
        <v>236</v>
      </c>
      <c r="B143" s="123" t="s">
        <v>45</v>
      </c>
      <c r="C143" s="80" t="s">
        <v>53</v>
      </c>
      <c r="D143" s="80" t="s">
        <v>53</v>
      </c>
      <c r="E143" s="80" t="s">
        <v>53</v>
      </c>
      <c r="F143" s="80" t="s">
        <v>53</v>
      </c>
      <c r="G143" s="123" t="s">
        <v>45</v>
      </c>
      <c r="H143" s="80" t="s">
        <v>53</v>
      </c>
      <c r="I143" s="80" t="s">
        <v>53</v>
      </c>
      <c r="J143" s="80" t="s">
        <v>53</v>
      </c>
      <c r="K143" s="80" t="s">
        <v>53</v>
      </c>
      <c r="L143" s="123" t="s">
        <v>45</v>
      </c>
      <c r="M143" s="80" t="s">
        <v>53</v>
      </c>
      <c r="N143" s="80" t="s">
        <v>53</v>
      </c>
      <c r="O143" s="80" t="s">
        <v>53</v>
      </c>
      <c r="P143" s="80" t="s">
        <v>53</v>
      </c>
      <c r="Q143" s="123" t="s">
        <v>45</v>
      </c>
      <c r="R143" s="80" t="s">
        <v>53</v>
      </c>
      <c r="S143" s="80" t="s">
        <v>53</v>
      </c>
      <c r="T143" s="80" t="s">
        <v>53</v>
      </c>
      <c r="U143" s="80" t="s">
        <v>53</v>
      </c>
      <c r="V143" s="123" t="s">
        <v>45</v>
      </c>
      <c r="W143" s="80" t="s">
        <v>53</v>
      </c>
      <c r="X143" s="80" t="s">
        <v>53</v>
      </c>
      <c r="Y143" s="80" t="s">
        <v>53</v>
      </c>
      <c r="Z143" s="80" t="s">
        <v>53</v>
      </c>
      <c r="AA143" s="123" t="s">
        <v>45</v>
      </c>
      <c r="AB143" s="80" t="s">
        <v>53</v>
      </c>
      <c r="AC143" s="80" t="s">
        <v>53</v>
      </c>
      <c r="AD143" s="80" t="s">
        <v>53</v>
      </c>
      <c r="AE143" s="80" t="s">
        <v>53</v>
      </c>
      <c r="AF143" s="123" t="s">
        <v>45</v>
      </c>
      <c r="AG143" s="80" t="s">
        <v>53</v>
      </c>
      <c r="AH143" s="80" t="s">
        <v>53</v>
      </c>
      <c r="AI143" s="80" t="s">
        <v>53</v>
      </c>
      <c r="AJ143" s="80" t="s">
        <v>53</v>
      </c>
      <c r="AK143" s="123" t="s">
        <v>45</v>
      </c>
      <c r="AL143" s="80" t="s">
        <v>53</v>
      </c>
      <c r="AM143" s="80" t="s">
        <v>53</v>
      </c>
      <c r="AN143" s="80" t="s">
        <v>53</v>
      </c>
      <c r="AO143" s="80" t="s">
        <v>53</v>
      </c>
      <c r="AP143" s="171">
        <v>6894</v>
      </c>
      <c r="AQ143" s="152">
        <v>6902</v>
      </c>
      <c r="AR143" s="152">
        <v>6872</v>
      </c>
      <c r="AS143" s="152">
        <v>6840</v>
      </c>
      <c r="AT143" s="152">
        <v>6876</v>
      </c>
      <c r="AU143" s="171">
        <v>6876</v>
      </c>
      <c r="AV143" s="152">
        <v>6886</v>
      </c>
      <c r="AW143" s="152">
        <v>6868</v>
      </c>
      <c r="AX143" s="152">
        <v>6817</v>
      </c>
      <c r="AY143" s="152">
        <v>6798</v>
      </c>
      <c r="AZ143" s="171">
        <v>6798</v>
      </c>
      <c r="BA143" s="152">
        <v>6782</v>
      </c>
    </row>
    <row r="144" spans="1:53" ht="15" customHeight="1">
      <c r="A144" s="69" t="s">
        <v>237</v>
      </c>
      <c r="B144" s="123" t="s">
        <v>45</v>
      </c>
      <c r="C144" s="80" t="s">
        <v>53</v>
      </c>
      <c r="D144" s="80" t="s">
        <v>53</v>
      </c>
      <c r="E144" s="80" t="s">
        <v>53</v>
      </c>
      <c r="F144" s="80" t="s">
        <v>53</v>
      </c>
      <c r="G144" s="123" t="s">
        <v>45</v>
      </c>
      <c r="H144" s="80" t="s">
        <v>53</v>
      </c>
      <c r="I144" s="80" t="s">
        <v>53</v>
      </c>
      <c r="J144" s="80" t="s">
        <v>53</v>
      </c>
      <c r="K144" s="80" t="s">
        <v>53</v>
      </c>
      <c r="L144" s="123" t="s">
        <v>45</v>
      </c>
      <c r="M144" s="80" t="s">
        <v>53</v>
      </c>
      <c r="N144" s="80" t="s">
        <v>53</v>
      </c>
      <c r="O144" s="80" t="s">
        <v>53</v>
      </c>
      <c r="P144" s="80" t="s">
        <v>53</v>
      </c>
      <c r="Q144" s="123" t="s">
        <v>45</v>
      </c>
      <c r="R144" s="80" t="s">
        <v>53</v>
      </c>
      <c r="S144" s="80" t="s">
        <v>53</v>
      </c>
      <c r="T144" s="80" t="s">
        <v>53</v>
      </c>
      <c r="U144" s="80" t="s">
        <v>53</v>
      </c>
      <c r="V144" s="123" t="s">
        <v>45</v>
      </c>
      <c r="W144" s="80" t="s">
        <v>53</v>
      </c>
      <c r="X144" s="80" t="s">
        <v>53</v>
      </c>
      <c r="Y144" s="80" t="s">
        <v>53</v>
      </c>
      <c r="Z144" s="80" t="s">
        <v>53</v>
      </c>
      <c r="AA144" s="123" t="s">
        <v>45</v>
      </c>
      <c r="AB144" s="80" t="s">
        <v>53</v>
      </c>
      <c r="AC144" s="80" t="s">
        <v>53</v>
      </c>
      <c r="AD144" s="80" t="s">
        <v>53</v>
      </c>
      <c r="AE144" s="80" t="s">
        <v>53</v>
      </c>
      <c r="AF144" s="123" t="s">
        <v>45</v>
      </c>
      <c r="AG144" s="80" t="s">
        <v>53</v>
      </c>
      <c r="AH144" s="80" t="s">
        <v>53</v>
      </c>
      <c r="AI144" s="80" t="s">
        <v>53</v>
      </c>
      <c r="AJ144" s="80" t="s">
        <v>53</v>
      </c>
      <c r="AK144" s="123" t="s">
        <v>45</v>
      </c>
      <c r="AL144" s="80" t="s">
        <v>53</v>
      </c>
      <c r="AM144" s="80" t="s">
        <v>53</v>
      </c>
      <c r="AN144" s="80" t="s">
        <v>53</v>
      </c>
      <c r="AO144" s="80" t="s">
        <v>53</v>
      </c>
      <c r="AP144" s="171">
        <v>3332</v>
      </c>
      <c r="AQ144" s="152">
        <v>3260</v>
      </c>
      <c r="AR144" s="152">
        <v>3195</v>
      </c>
      <c r="AS144" s="152">
        <v>3121</v>
      </c>
      <c r="AT144" s="152">
        <v>3047</v>
      </c>
      <c r="AU144" s="171">
        <v>3047</v>
      </c>
      <c r="AV144" s="152">
        <v>2986</v>
      </c>
      <c r="AW144" s="152">
        <v>2943</v>
      </c>
      <c r="AX144" s="152">
        <v>2894</v>
      </c>
      <c r="AY144" s="152">
        <v>2768</v>
      </c>
      <c r="AZ144" s="171">
        <v>2768</v>
      </c>
      <c r="BA144" s="152">
        <v>2728</v>
      </c>
    </row>
    <row r="145" spans="1:53" ht="15" customHeight="1">
      <c r="A145" s="69" t="s">
        <v>238</v>
      </c>
      <c r="B145" s="123" t="s">
        <v>45</v>
      </c>
      <c r="C145" s="80" t="s">
        <v>53</v>
      </c>
      <c r="D145" s="80" t="s">
        <v>53</v>
      </c>
      <c r="E145" s="80" t="s">
        <v>53</v>
      </c>
      <c r="F145" s="80" t="s">
        <v>53</v>
      </c>
      <c r="G145" s="123" t="s">
        <v>45</v>
      </c>
      <c r="H145" s="80" t="s">
        <v>53</v>
      </c>
      <c r="I145" s="80" t="s">
        <v>53</v>
      </c>
      <c r="J145" s="80" t="s">
        <v>53</v>
      </c>
      <c r="K145" s="80" t="s">
        <v>53</v>
      </c>
      <c r="L145" s="123" t="s">
        <v>45</v>
      </c>
      <c r="M145" s="80" t="s">
        <v>53</v>
      </c>
      <c r="N145" s="80" t="s">
        <v>53</v>
      </c>
      <c r="O145" s="80" t="s">
        <v>53</v>
      </c>
      <c r="P145" s="80" t="s">
        <v>53</v>
      </c>
      <c r="Q145" s="123" t="s">
        <v>45</v>
      </c>
      <c r="R145" s="80" t="s">
        <v>53</v>
      </c>
      <c r="S145" s="80" t="s">
        <v>53</v>
      </c>
      <c r="T145" s="80" t="s">
        <v>53</v>
      </c>
      <c r="U145" s="80" t="s">
        <v>53</v>
      </c>
      <c r="V145" s="123" t="s">
        <v>45</v>
      </c>
      <c r="W145" s="80" t="s">
        <v>53</v>
      </c>
      <c r="X145" s="80" t="s">
        <v>53</v>
      </c>
      <c r="Y145" s="80" t="s">
        <v>53</v>
      </c>
      <c r="Z145" s="80" t="s">
        <v>53</v>
      </c>
      <c r="AA145" s="123" t="s">
        <v>45</v>
      </c>
      <c r="AB145" s="80" t="s">
        <v>53</v>
      </c>
      <c r="AC145" s="80" t="s">
        <v>53</v>
      </c>
      <c r="AD145" s="80" t="s">
        <v>53</v>
      </c>
      <c r="AE145" s="80" t="s">
        <v>53</v>
      </c>
      <c r="AF145" s="123" t="s">
        <v>45</v>
      </c>
      <c r="AG145" s="80" t="s">
        <v>53</v>
      </c>
      <c r="AH145" s="80" t="s">
        <v>53</v>
      </c>
      <c r="AI145" s="80" t="s">
        <v>53</v>
      </c>
      <c r="AJ145" s="80" t="s">
        <v>53</v>
      </c>
      <c r="AK145" s="123" t="s">
        <v>45</v>
      </c>
      <c r="AL145" s="80" t="s">
        <v>53</v>
      </c>
      <c r="AM145" s="80" t="s">
        <v>53</v>
      </c>
      <c r="AN145" s="80" t="s">
        <v>53</v>
      </c>
      <c r="AO145" s="80" t="s">
        <v>53</v>
      </c>
      <c r="AP145" s="171">
        <v>1178</v>
      </c>
      <c r="AQ145" s="152">
        <v>1105</v>
      </c>
      <c r="AR145" s="152">
        <v>1099</v>
      </c>
      <c r="AS145" s="152">
        <v>1103</v>
      </c>
      <c r="AT145" s="152">
        <v>1007</v>
      </c>
      <c r="AU145" s="171">
        <v>1007</v>
      </c>
      <c r="AV145" s="152">
        <v>1008</v>
      </c>
      <c r="AW145" s="152">
        <v>1015</v>
      </c>
      <c r="AX145" s="152">
        <v>1014</v>
      </c>
      <c r="AY145" s="152">
        <v>1019</v>
      </c>
      <c r="AZ145" s="171">
        <v>1019</v>
      </c>
      <c r="BA145" s="152">
        <v>1027</v>
      </c>
    </row>
    <row r="146" spans="1:53" ht="15" customHeight="1">
      <c r="A146" s="69" t="s">
        <v>239</v>
      </c>
      <c r="B146" s="123" t="s">
        <v>45</v>
      </c>
      <c r="C146" s="80" t="s">
        <v>53</v>
      </c>
      <c r="D146" s="80" t="s">
        <v>53</v>
      </c>
      <c r="E146" s="80" t="s">
        <v>53</v>
      </c>
      <c r="F146" s="80" t="s">
        <v>53</v>
      </c>
      <c r="G146" s="123" t="s">
        <v>45</v>
      </c>
      <c r="H146" s="80" t="s">
        <v>53</v>
      </c>
      <c r="I146" s="80" t="s">
        <v>53</v>
      </c>
      <c r="J146" s="80" t="s">
        <v>53</v>
      </c>
      <c r="K146" s="80" t="s">
        <v>53</v>
      </c>
      <c r="L146" s="123" t="s">
        <v>45</v>
      </c>
      <c r="M146" s="80" t="s">
        <v>53</v>
      </c>
      <c r="N146" s="80" t="s">
        <v>53</v>
      </c>
      <c r="O146" s="80" t="s">
        <v>53</v>
      </c>
      <c r="P146" s="80" t="s">
        <v>53</v>
      </c>
      <c r="Q146" s="123" t="s">
        <v>45</v>
      </c>
      <c r="R146" s="80" t="s">
        <v>53</v>
      </c>
      <c r="S146" s="80" t="s">
        <v>53</v>
      </c>
      <c r="T146" s="80" t="s">
        <v>53</v>
      </c>
      <c r="U146" s="80" t="s">
        <v>53</v>
      </c>
      <c r="V146" s="123" t="s">
        <v>45</v>
      </c>
      <c r="W146" s="80" t="s">
        <v>53</v>
      </c>
      <c r="X146" s="80" t="s">
        <v>53</v>
      </c>
      <c r="Y146" s="80" t="s">
        <v>53</v>
      </c>
      <c r="Z146" s="80" t="s">
        <v>53</v>
      </c>
      <c r="AA146" s="123" t="s">
        <v>45</v>
      </c>
      <c r="AB146" s="80" t="s">
        <v>53</v>
      </c>
      <c r="AC146" s="80" t="s">
        <v>53</v>
      </c>
      <c r="AD146" s="80" t="s">
        <v>53</v>
      </c>
      <c r="AE146" s="80" t="s">
        <v>53</v>
      </c>
      <c r="AF146" s="123" t="s">
        <v>45</v>
      </c>
      <c r="AG146" s="80" t="s">
        <v>53</v>
      </c>
      <c r="AH146" s="80" t="s">
        <v>53</v>
      </c>
      <c r="AI146" s="80" t="s">
        <v>53</v>
      </c>
      <c r="AJ146" s="80" t="s">
        <v>53</v>
      </c>
      <c r="AK146" s="123" t="s">
        <v>45</v>
      </c>
      <c r="AL146" s="80" t="s">
        <v>53</v>
      </c>
      <c r="AM146" s="80" t="s">
        <v>53</v>
      </c>
      <c r="AN146" s="80" t="s">
        <v>53</v>
      </c>
      <c r="AO146" s="80" t="s">
        <v>53</v>
      </c>
      <c r="AP146" s="171">
        <v>386</v>
      </c>
      <c r="AQ146" s="152">
        <v>407</v>
      </c>
      <c r="AR146" s="152">
        <v>397</v>
      </c>
      <c r="AS146" s="152">
        <v>388</v>
      </c>
      <c r="AT146" s="152">
        <v>382</v>
      </c>
      <c r="AU146" s="171">
        <v>382</v>
      </c>
      <c r="AV146" s="152">
        <v>429</v>
      </c>
      <c r="AW146" s="152">
        <v>457</v>
      </c>
      <c r="AX146" s="152">
        <v>489</v>
      </c>
      <c r="AY146" s="152">
        <v>494</v>
      </c>
      <c r="AZ146" s="171">
        <v>494</v>
      </c>
      <c r="BA146" s="152">
        <v>547</v>
      </c>
    </row>
    <row r="147" spans="1:53" ht="15" customHeight="1">
      <c r="A147" s="40" t="s">
        <v>240</v>
      </c>
      <c r="B147" s="40"/>
      <c r="C147" s="214"/>
      <c r="D147" s="214"/>
      <c r="E147" s="214"/>
      <c r="F147" s="214"/>
      <c r="G147" s="40"/>
      <c r="H147" s="214"/>
      <c r="I147" s="214"/>
      <c r="J147" s="214"/>
      <c r="K147" s="214"/>
      <c r="L147" s="40"/>
      <c r="M147" s="214"/>
      <c r="N147" s="214"/>
      <c r="O147" s="214"/>
      <c r="P147" s="214"/>
      <c r="Q147" s="40"/>
      <c r="R147" s="214"/>
      <c r="S147" s="214"/>
      <c r="T147" s="214"/>
      <c r="U147" s="214"/>
      <c r="V147" s="40"/>
      <c r="W147" s="214"/>
      <c r="X147" s="214"/>
      <c r="Y147" s="214"/>
      <c r="Z147" s="214"/>
      <c r="AA147" s="40"/>
      <c r="AB147" s="214"/>
      <c r="AC147" s="214"/>
      <c r="AD147" s="214"/>
      <c r="AE147" s="214"/>
      <c r="AF147" s="40"/>
      <c r="AG147" s="214"/>
      <c r="AH147" s="214"/>
      <c r="AI147" s="214"/>
      <c r="AJ147" s="214"/>
      <c r="AK147" s="40"/>
      <c r="AL147" s="214"/>
      <c r="AM147" s="214"/>
      <c r="AN147" s="214"/>
      <c r="AO147" s="214"/>
      <c r="AP147" s="214">
        <v>12920</v>
      </c>
      <c r="AQ147" s="214">
        <v>12792</v>
      </c>
      <c r="AR147" s="214">
        <v>12665</v>
      </c>
      <c r="AS147" s="214">
        <v>12543</v>
      </c>
      <c r="AT147" s="214">
        <v>12388</v>
      </c>
      <c r="AU147" s="214">
        <v>12388</v>
      </c>
      <c r="AV147" s="214">
        <v>12342</v>
      </c>
      <c r="AW147" s="214">
        <v>12246</v>
      </c>
      <c r="AX147" s="214">
        <v>12191</v>
      </c>
      <c r="AY147" s="214">
        <v>12026</v>
      </c>
      <c r="AZ147" s="214">
        <v>12026</v>
      </c>
      <c r="BA147" s="214">
        <v>13418</v>
      </c>
    </row>
    <row r="148" spans="1:53" ht="15" customHeight="1">
      <c r="A148" s="40" t="s">
        <v>241</v>
      </c>
      <c r="B148" s="40"/>
      <c r="C148" s="214"/>
      <c r="D148" s="214"/>
      <c r="E148" s="214"/>
      <c r="F148" s="214"/>
      <c r="G148" s="40"/>
      <c r="H148" s="214"/>
      <c r="I148" s="214"/>
      <c r="J148" s="214"/>
      <c r="K148" s="214"/>
      <c r="L148" s="40"/>
      <c r="M148" s="214"/>
      <c r="N148" s="214"/>
      <c r="O148" s="214"/>
      <c r="P148" s="214"/>
      <c r="Q148" s="40"/>
      <c r="R148" s="214"/>
      <c r="S148" s="214"/>
      <c r="T148" s="214"/>
      <c r="U148" s="214"/>
      <c r="V148" s="40"/>
      <c r="W148" s="214"/>
      <c r="X148" s="214"/>
      <c r="Y148" s="214"/>
      <c r="Z148" s="214"/>
      <c r="AA148" s="40"/>
      <c r="AB148" s="214"/>
      <c r="AC148" s="214"/>
      <c r="AD148" s="214"/>
      <c r="AE148" s="214"/>
      <c r="AF148" s="40"/>
      <c r="AG148" s="214"/>
      <c r="AH148" s="214"/>
      <c r="AI148" s="214"/>
      <c r="AJ148" s="214"/>
      <c r="AK148" s="40"/>
      <c r="AL148" s="214"/>
      <c r="AM148" s="214"/>
      <c r="AN148" s="214"/>
      <c r="AO148" s="214"/>
      <c r="AP148" s="214">
        <v>16679</v>
      </c>
      <c r="AQ148" s="214">
        <v>17033</v>
      </c>
      <c r="AR148" s="214">
        <v>17287</v>
      </c>
      <c r="AS148" s="214">
        <v>16703</v>
      </c>
      <c r="AT148" s="214">
        <v>15947</v>
      </c>
      <c r="AU148" s="214">
        <v>15947</v>
      </c>
      <c r="AV148" s="214">
        <v>16134</v>
      </c>
      <c r="AW148" s="214">
        <v>16618</v>
      </c>
      <c r="AX148" s="214">
        <v>17142</v>
      </c>
      <c r="AY148" s="214">
        <v>16849</v>
      </c>
      <c r="AZ148" s="214">
        <v>16849</v>
      </c>
      <c r="BA148" s="214">
        <v>18922</v>
      </c>
    </row>
    <row r="149" spans="1:53" ht="15" customHeight="1">
      <c r="A149" s="69" t="s">
        <v>242</v>
      </c>
      <c r="B149" s="123" t="s">
        <v>45</v>
      </c>
      <c r="C149" s="80" t="s">
        <v>53</v>
      </c>
      <c r="D149" s="80" t="s">
        <v>53</v>
      </c>
      <c r="E149" s="80" t="s">
        <v>53</v>
      </c>
      <c r="F149" s="80" t="s">
        <v>53</v>
      </c>
      <c r="G149" s="123" t="s">
        <v>45</v>
      </c>
      <c r="H149" s="80" t="s">
        <v>53</v>
      </c>
      <c r="I149" s="80" t="s">
        <v>53</v>
      </c>
      <c r="J149" s="80" t="s">
        <v>53</v>
      </c>
      <c r="K149" s="80" t="s">
        <v>53</v>
      </c>
      <c r="L149" s="123" t="s">
        <v>45</v>
      </c>
      <c r="M149" s="80" t="s">
        <v>53</v>
      </c>
      <c r="N149" s="80" t="s">
        <v>53</v>
      </c>
      <c r="O149" s="80" t="s">
        <v>53</v>
      </c>
      <c r="P149" s="80" t="s">
        <v>53</v>
      </c>
      <c r="Q149" s="123" t="s">
        <v>45</v>
      </c>
      <c r="R149" s="80" t="s">
        <v>53</v>
      </c>
      <c r="S149" s="80" t="s">
        <v>53</v>
      </c>
      <c r="T149" s="80" t="s">
        <v>53</v>
      </c>
      <c r="U149" s="80" t="s">
        <v>53</v>
      </c>
      <c r="V149" s="123" t="s">
        <v>45</v>
      </c>
      <c r="W149" s="80" t="s">
        <v>53</v>
      </c>
      <c r="X149" s="80" t="s">
        <v>53</v>
      </c>
      <c r="Y149" s="80" t="s">
        <v>53</v>
      </c>
      <c r="Z149" s="80" t="s">
        <v>53</v>
      </c>
      <c r="AA149" s="123" t="s">
        <v>45</v>
      </c>
      <c r="AB149" s="80" t="s">
        <v>53</v>
      </c>
      <c r="AC149" s="80" t="s">
        <v>53</v>
      </c>
      <c r="AD149" s="80" t="s">
        <v>53</v>
      </c>
      <c r="AE149" s="80" t="s">
        <v>53</v>
      </c>
      <c r="AF149" s="123" t="s">
        <v>45</v>
      </c>
      <c r="AG149" s="80" t="s">
        <v>53</v>
      </c>
      <c r="AH149" s="80" t="s">
        <v>53</v>
      </c>
      <c r="AI149" s="80" t="s">
        <v>53</v>
      </c>
      <c r="AJ149" s="80" t="s">
        <v>53</v>
      </c>
      <c r="AK149" s="123" t="s">
        <v>45</v>
      </c>
      <c r="AL149" s="80" t="s">
        <v>53</v>
      </c>
      <c r="AM149" s="80" t="s">
        <v>53</v>
      </c>
      <c r="AN149" s="80" t="s">
        <v>53</v>
      </c>
      <c r="AO149" s="80" t="s">
        <v>53</v>
      </c>
      <c r="AP149" s="171">
        <v>1913</v>
      </c>
      <c r="AQ149" s="152">
        <v>2073</v>
      </c>
      <c r="AR149" s="152">
        <v>1958</v>
      </c>
      <c r="AS149" s="152">
        <v>2135</v>
      </c>
      <c r="AT149" s="152">
        <v>1825</v>
      </c>
      <c r="AU149" s="171">
        <v>1825</v>
      </c>
      <c r="AV149" s="152">
        <v>1594</v>
      </c>
      <c r="AW149" s="152">
        <v>958</v>
      </c>
      <c r="AX149" s="152">
        <v>555</v>
      </c>
      <c r="AY149" s="152">
        <v>1632</v>
      </c>
      <c r="AZ149" s="171">
        <v>1632</v>
      </c>
      <c r="BA149" s="152">
        <v>1609</v>
      </c>
    </row>
    <row r="150" spans="1:53" ht="15" customHeight="1">
      <c r="A150" s="69" t="s">
        <v>271</v>
      </c>
      <c r="B150" s="123"/>
      <c r="C150" s="80"/>
      <c r="D150" s="80"/>
      <c r="E150" s="80"/>
      <c r="F150" s="80"/>
      <c r="G150" s="123"/>
      <c r="H150" s="80"/>
      <c r="I150" s="80"/>
      <c r="J150" s="80"/>
      <c r="K150" s="80"/>
      <c r="L150" s="123"/>
      <c r="M150" s="80"/>
      <c r="N150" s="80"/>
      <c r="O150" s="80"/>
      <c r="P150" s="80"/>
      <c r="Q150" s="123"/>
      <c r="R150" s="80"/>
      <c r="S150" s="80"/>
      <c r="T150" s="80"/>
      <c r="U150" s="80"/>
      <c r="V150" s="123"/>
      <c r="W150" s="80"/>
      <c r="X150" s="80"/>
      <c r="Y150" s="80"/>
      <c r="Z150" s="80"/>
      <c r="AA150" s="123"/>
      <c r="AB150" s="80"/>
      <c r="AC150" s="80"/>
      <c r="AD150" s="80"/>
      <c r="AE150" s="80"/>
      <c r="AF150" s="123"/>
      <c r="AG150" s="80"/>
      <c r="AH150" s="80"/>
      <c r="AI150" s="80"/>
      <c r="AJ150" s="80"/>
      <c r="AK150" s="123"/>
      <c r="AL150" s="80"/>
      <c r="AM150" s="80"/>
      <c r="AN150" s="80"/>
      <c r="AO150" s="80"/>
      <c r="AP150" s="171"/>
      <c r="AQ150" s="152"/>
      <c r="AR150" s="152"/>
      <c r="AS150" s="152"/>
      <c r="AT150" s="152"/>
      <c r="AU150" s="171"/>
      <c r="AV150" s="152"/>
      <c r="AW150" s="152"/>
      <c r="AX150" s="152"/>
      <c r="AY150" s="152"/>
      <c r="AZ150" s="171"/>
      <c r="BA150" s="152">
        <v>428</v>
      </c>
    </row>
    <row r="151" spans="1:53" ht="15" customHeight="1">
      <c r="A151" s="69" t="s">
        <v>243</v>
      </c>
      <c r="B151" s="123" t="s">
        <v>45</v>
      </c>
      <c r="C151" s="80" t="s">
        <v>53</v>
      </c>
      <c r="D151" s="80" t="s">
        <v>53</v>
      </c>
      <c r="E151" s="80" t="s">
        <v>53</v>
      </c>
      <c r="F151" s="80" t="s">
        <v>53</v>
      </c>
      <c r="G151" s="123" t="s">
        <v>45</v>
      </c>
      <c r="H151" s="80" t="s">
        <v>53</v>
      </c>
      <c r="I151" s="80" t="s">
        <v>53</v>
      </c>
      <c r="J151" s="80" t="s">
        <v>53</v>
      </c>
      <c r="K151" s="80" t="s">
        <v>53</v>
      </c>
      <c r="L151" s="123" t="s">
        <v>45</v>
      </c>
      <c r="M151" s="80" t="s">
        <v>53</v>
      </c>
      <c r="N151" s="80" t="s">
        <v>53</v>
      </c>
      <c r="O151" s="80" t="s">
        <v>53</v>
      </c>
      <c r="P151" s="80" t="s">
        <v>53</v>
      </c>
      <c r="Q151" s="123" t="s">
        <v>45</v>
      </c>
      <c r="R151" s="80" t="s">
        <v>53</v>
      </c>
      <c r="S151" s="80" t="s">
        <v>53</v>
      </c>
      <c r="T151" s="80" t="s">
        <v>53</v>
      </c>
      <c r="U151" s="80" t="s">
        <v>53</v>
      </c>
      <c r="V151" s="123" t="s">
        <v>45</v>
      </c>
      <c r="W151" s="80" t="s">
        <v>53</v>
      </c>
      <c r="X151" s="80" t="s">
        <v>53</v>
      </c>
      <c r="Y151" s="80" t="s">
        <v>53</v>
      </c>
      <c r="Z151" s="80" t="s">
        <v>53</v>
      </c>
      <c r="AA151" s="123" t="s">
        <v>45</v>
      </c>
      <c r="AB151" s="80" t="s">
        <v>53</v>
      </c>
      <c r="AC151" s="80" t="s">
        <v>53</v>
      </c>
      <c r="AD151" s="80" t="s">
        <v>53</v>
      </c>
      <c r="AE151" s="80" t="s">
        <v>53</v>
      </c>
      <c r="AF151" s="123" t="s">
        <v>45</v>
      </c>
      <c r="AG151" s="80" t="s">
        <v>53</v>
      </c>
      <c r="AH151" s="80" t="s">
        <v>53</v>
      </c>
      <c r="AI151" s="80" t="s">
        <v>53</v>
      </c>
      <c r="AJ151" s="80" t="s">
        <v>53</v>
      </c>
      <c r="AK151" s="123" t="s">
        <v>45</v>
      </c>
      <c r="AL151" s="80" t="s">
        <v>53</v>
      </c>
      <c r="AM151" s="80" t="s">
        <v>53</v>
      </c>
      <c r="AN151" s="80" t="s">
        <v>53</v>
      </c>
      <c r="AO151" s="80" t="s">
        <v>53</v>
      </c>
      <c r="AP151" s="171">
        <v>1657</v>
      </c>
      <c r="AQ151" s="152">
        <v>1843</v>
      </c>
      <c r="AR151" s="152">
        <v>1576</v>
      </c>
      <c r="AS151" s="152">
        <v>1599</v>
      </c>
      <c r="AT151" s="152">
        <v>1610</v>
      </c>
      <c r="AU151" s="171">
        <v>1610</v>
      </c>
      <c r="AV151" s="152">
        <v>1705</v>
      </c>
      <c r="AW151" s="152">
        <v>1608</v>
      </c>
      <c r="AX151" s="152">
        <v>1807</v>
      </c>
      <c r="AY151" s="152">
        <v>1699</v>
      </c>
      <c r="AZ151" s="171">
        <v>1699</v>
      </c>
      <c r="BA151" s="152">
        <v>1820</v>
      </c>
    </row>
    <row r="152" spans="1:53" ht="15" customHeight="1">
      <c r="A152" s="69" t="s">
        <v>244</v>
      </c>
      <c r="B152" s="123" t="s">
        <v>45</v>
      </c>
      <c r="C152" s="80" t="s">
        <v>53</v>
      </c>
      <c r="D152" s="80" t="s">
        <v>53</v>
      </c>
      <c r="E152" s="80" t="s">
        <v>53</v>
      </c>
      <c r="F152" s="80" t="s">
        <v>53</v>
      </c>
      <c r="G152" s="123" t="s">
        <v>45</v>
      </c>
      <c r="H152" s="80" t="s">
        <v>53</v>
      </c>
      <c r="I152" s="80" t="s">
        <v>53</v>
      </c>
      <c r="J152" s="80" t="s">
        <v>53</v>
      </c>
      <c r="K152" s="80" t="s">
        <v>53</v>
      </c>
      <c r="L152" s="123" t="s">
        <v>45</v>
      </c>
      <c r="M152" s="80" t="s">
        <v>53</v>
      </c>
      <c r="N152" s="80" t="s">
        <v>53</v>
      </c>
      <c r="O152" s="80" t="s">
        <v>53</v>
      </c>
      <c r="P152" s="80" t="s">
        <v>53</v>
      </c>
      <c r="Q152" s="123" t="s">
        <v>45</v>
      </c>
      <c r="R152" s="80" t="s">
        <v>53</v>
      </c>
      <c r="S152" s="80" t="s">
        <v>53</v>
      </c>
      <c r="T152" s="80" t="s">
        <v>53</v>
      </c>
      <c r="U152" s="80" t="s">
        <v>53</v>
      </c>
      <c r="V152" s="123" t="s">
        <v>45</v>
      </c>
      <c r="W152" s="80" t="s">
        <v>53</v>
      </c>
      <c r="X152" s="80" t="s">
        <v>53</v>
      </c>
      <c r="Y152" s="80" t="s">
        <v>53</v>
      </c>
      <c r="Z152" s="80" t="s">
        <v>53</v>
      </c>
      <c r="AA152" s="123" t="s">
        <v>45</v>
      </c>
      <c r="AB152" s="80" t="s">
        <v>53</v>
      </c>
      <c r="AC152" s="80" t="s">
        <v>53</v>
      </c>
      <c r="AD152" s="80" t="s">
        <v>53</v>
      </c>
      <c r="AE152" s="80" t="s">
        <v>53</v>
      </c>
      <c r="AF152" s="123" t="s">
        <v>45</v>
      </c>
      <c r="AG152" s="80" t="s">
        <v>53</v>
      </c>
      <c r="AH152" s="80" t="s">
        <v>53</v>
      </c>
      <c r="AI152" s="80" t="s">
        <v>53</v>
      </c>
      <c r="AJ152" s="80" t="s">
        <v>53</v>
      </c>
      <c r="AK152" s="123" t="s">
        <v>45</v>
      </c>
      <c r="AL152" s="80" t="s">
        <v>53</v>
      </c>
      <c r="AM152" s="80" t="s">
        <v>53</v>
      </c>
      <c r="AN152" s="80" t="s">
        <v>53</v>
      </c>
      <c r="AO152" s="80" t="s">
        <v>53</v>
      </c>
      <c r="AP152" s="171">
        <v>624</v>
      </c>
      <c r="AQ152" s="152">
        <v>622</v>
      </c>
      <c r="AR152" s="152">
        <v>628</v>
      </c>
      <c r="AS152" s="152">
        <v>171</v>
      </c>
      <c r="AT152" s="152">
        <v>104</v>
      </c>
      <c r="AU152" s="171">
        <v>104</v>
      </c>
      <c r="AV152" s="152">
        <v>112</v>
      </c>
      <c r="AW152" s="152">
        <v>112</v>
      </c>
      <c r="AX152" s="152">
        <v>118</v>
      </c>
      <c r="AY152" s="152">
        <v>152</v>
      </c>
      <c r="AZ152" s="171">
        <v>152</v>
      </c>
      <c r="BA152" s="152">
        <v>43</v>
      </c>
    </row>
    <row r="153" spans="1:53" ht="15" customHeight="1">
      <c r="A153" s="69" t="s">
        <v>245</v>
      </c>
      <c r="B153" s="123" t="s">
        <v>45</v>
      </c>
      <c r="C153" s="80" t="s">
        <v>53</v>
      </c>
      <c r="D153" s="80" t="s">
        <v>53</v>
      </c>
      <c r="E153" s="80" t="s">
        <v>53</v>
      </c>
      <c r="F153" s="80" t="s">
        <v>53</v>
      </c>
      <c r="G153" s="123" t="s">
        <v>45</v>
      </c>
      <c r="H153" s="80" t="s">
        <v>53</v>
      </c>
      <c r="I153" s="80" t="s">
        <v>53</v>
      </c>
      <c r="J153" s="80" t="s">
        <v>53</v>
      </c>
      <c r="K153" s="80" t="s">
        <v>53</v>
      </c>
      <c r="L153" s="123" t="s">
        <v>45</v>
      </c>
      <c r="M153" s="80" t="s">
        <v>53</v>
      </c>
      <c r="N153" s="80" t="s">
        <v>53</v>
      </c>
      <c r="O153" s="80" t="s">
        <v>53</v>
      </c>
      <c r="P153" s="80" t="s">
        <v>53</v>
      </c>
      <c r="Q153" s="123" t="s">
        <v>45</v>
      </c>
      <c r="R153" s="80" t="s">
        <v>53</v>
      </c>
      <c r="S153" s="80" t="s">
        <v>53</v>
      </c>
      <c r="T153" s="80" t="s">
        <v>53</v>
      </c>
      <c r="U153" s="80" t="s">
        <v>53</v>
      </c>
      <c r="V153" s="123" t="s">
        <v>45</v>
      </c>
      <c r="W153" s="80" t="s">
        <v>53</v>
      </c>
      <c r="X153" s="80" t="s">
        <v>53</v>
      </c>
      <c r="Y153" s="80" t="s">
        <v>53</v>
      </c>
      <c r="Z153" s="80" t="s">
        <v>53</v>
      </c>
      <c r="AA153" s="123" t="s">
        <v>45</v>
      </c>
      <c r="AB153" s="80" t="s">
        <v>53</v>
      </c>
      <c r="AC153" s="80" t="s">
        <v>53</v>
      </c>
      <c r="AD153" s="80" t="s">
        <v>53</v>
      </c>
      <c r="AE153" s="80" t="s">
        <v>53</v>
      </c>
      <c r="AF153" s="123" t="s">
        <v>45</v>
      </c>
      <c r="AG153" s="80" t="s">
        <v>53</v>
      </c>
      <c r="AH153" s="80" t="s">
        <v>53</v>
      </c>
      <c r="AI153" s="80" t="s">
        <v>53</v>
      </c>
      <c r="AJ153" s="80" t="s">
        <v>53</v>
      </c>
      <c r="AK153" s="123" t="s">
        <v>45</v>
      </c>
      <c r="AL153" s="80" t="s">
        <v>53</v>
      </c>
      <c r="AM153" s="80" t="s">
        <v>53</v>
      </c>
      <c r="AN153" s="80" t="s">
        <v>53</v>
      </c>
      <c r="AO153" s="80" t="s">
        <v>53</v>
      </c>
      <c r="AP153" s="171">
        <v>233</v>
      </c>
      <c r="AQ153" s="152">
        <v>206</v>
      </c>
      <c r="AR153" s="152">
        <v>208</v>
      </c>
      <c r="AS153" s="152">
        <v>6</v>
      </c>
      <c r="AT153" s="152">
        <v>32</v>
      </c>
      <c r="AU153" s="171">
        <v>32</v>
      </c>
      <c r="AV153" s="152">
        <v>6</v>
      </c>
      <c r="AW153" s="151" t="s">
        <v>152</v>
      </c>
      <c r="AX153" s="151" t="s">
        <v>152</v>
      </c>
      <c r="AY153" s="151" t="s">
        <v>152</v>
      </c>
      <c r="AZ153" s="215" t="s">
        <v>152</v>
      </c>
      <c r="BA153" s="151" t="s">
        <v>152</v>
      </c>
    </row>
    <row r="154" spans="1:53" ht="15" customHeight="1">
      <c r="A154" s="69" t="s">
        <v>246</v>
      </c>
      <c r="B154" s="123" t="s">
        <v>45</v>
      </c>
      <c r="C154" s="80" t="s">
        <v>53</v>
      </c>
      <c r="D154" s="80" t="s">
        <v>53</v>
      </c>
      <c r="E154" s="80" t="s">
        <v>53</v>
      </c>
      <c r="F154" s="80" t="s">
        <v>53</v>
      </c>
      <c r="G154" s="123" t="s">
        <v>45</v>
      </c>
      <c r="H154" s="80" t="s">
        <v>53</v>
      </c>
      <c r="I154" s="80" t="s">
        <v>53</v>
      </c>
      <c r="J154" s="80" t="s">
        <v>53</v>
      </c>
      <c r="K154" s="80" t="s">
        <v>53</v>
      </c>
      <c r="L154" s="123" t="s">
        <v>45</v>
      </c>
      <c r="M154" s="80" t="s">
        <v>53</v>
      </c>
      <c r="N154" s="80" t="s">
        <v>53</v>
      </c>
      <c r="O154" s="80" t="s">
        <v>53</v>
      </c>
      <c r="P154" s="80" t="s">
        <v>53</v>
      </c>
      <c r="Q154" s="123" t="s">
        <v>45</v>
      </c>
      <c r="R154" s="80" t="s">
        <v>53</v>
      </c>
      <c r="S154" s="80" t="s">
        <v>53</v>
      </c>
      <c r="T154" s="80" t="s">
        <v>53</v>
      </c>
      <c r="U154" s="80" t="s">
        <v>53</v>
      </c>
      <c r="V154" s="123" t="s">
        <v>45</v>
      </c>
      <c r="W154" s="80" t="s">
        <v>53</v>
      </c>
      <c r="X154" s="80" t="s">
        <v>53</v>
      </c>
      <c r="Y154" s="80" t="s">
        <v>53</v>
      </c>
      <c r="Z154" s="80" t="s">
        <v>53</v>
      </c>
      <c r="AA154" s="123" t="s">
        <v>45</v>
      </c>
      <c r="AB154" s="80" t="s">
        <v>53</v>
      </c>
      <c r="AC154" s="80" t="s">
        <v>53</v>
      </c>
      <c r="AD154" s="80" t="s">
        <v>53</v>
      </c>
      <c r="AE154" s="80" t="s">
        <v>53</v>
      </c>
      <c r="AF154" s="123" t="s">
        <v>45</v>
      </c>
      <c r="AG154" s="80" t="s">
        <v>53</v>
      </c>
      <c r="AH154" s="80" t="s">
        <v>53</v>
      </c>
      <c r="AI154" s="80" t="s">
        <v>53</v>
      </c>
      <c r="AJ154" s="80" t="s">
        <v>53</v>
      </c>
      <c r="AK154" s="123" t="s">
        <v>45</v>
      </c>
      <c r="AL154" s="80" t="s">
        <v>53</v>
      </c>
      <c r="AM154" s="80" t="s">
        <v>53</v>
      </c>
      <c r="AN154" s="80" t="s">
        <v>53</v>
      </c>
      <c r="AO154" s="80" t="s">
        <v>53</v>
      </c>
      <c r="AP154" s="171">
        <v>378</v>
      </c>
      <c r="AQ154" s="152">
        <v>380</v>
      </c>
      <c r="AR154" s="152">
        <v>370</v>
      </c>
      <c r="AS154" s="152">
        <v>280</v>
      </c>
      <c r="AT154" s="152">
        <v>315</v>
      </c>
      <c r="AU154" s="171">
        <v>315</v>
      </c>
      <c r="AV154" s="152">
        <v>308</v>
      </c>
      <c r="AW154" s="152">
        <v>318</v>
      </c>
      <c r="AX154" s="152">
        <v>251</v>
      </c>
      <c r="AY154" s="152">
        <v>280</v>
      </c>
      <c r="AZ154" s="171">
        <v>280</v>
      </c>
      <c r="BA154" s="152">
        <v>286</v>
      </c>
    </row>
    <row r="155" spans="1:53" ht="15" customHeight="1">
      <c r="A155" s="69" t="s">
        <v>247</v>
      </c>
      <c r="B155" s="123" t="s">
        <v>45</v>
      </c>
      <c r="C155" s="80" t="s">
        <v>53</v>
      </c>
      <c r="D155" s="80" t="s">
        <v>53</v>
      </c>
      <c r="E155" s="80" t="s">
        <v>53</v>
      </c>
      <c r="F155" s="80" t="s">
        <v>53</v>
      </c>
      <c r="G155" s="123" t="s">
        <v>45</v>
      </c>
      <c r="H155" s="80" t="s">
        <v>53</v>
      </c>
      <c r="I155" s="80" t="s">
        <v>53</v>
      </c>
      <c r="J155" s="80" t="s">
        <v>53</v>
      </c>
      <c r="K155" s="80" t="s">
        <v>53</v>
      </c>
      <c r="L155" s="123" t="s">
        <v>45</v>
      </c>
      <c r="M155" s="80" t="s">
        <v>53</v>
      </c>
      <c r="N155" s="80" t="s">
        <v>53</v>
      </c>
      <c r="O155" s="80" t="s">
        <v>53</v>
      </c>
      <c r="P155" s="80" t="s">
        <v>53</v>
      </c>
      <c r="Q155" s="123" t="s">
        <v>45</v>
      </c>
      <c r="R155" s="80" t="s">
        <v>53</v>
      </c>
      <c r="S155" s="80" t="s">
        <v>53</v>
      </c>
      <c r="T155" s="80" t="s">
        <v>53</v>
      </c>
      <c r="U155" s="80" t="s">
        <v>53</v>
      </c>
      <c r="V155" s="123" t="s">
        <v>45</v>
      </c>
      <c r="W155" s="80" t="s">
        <v>53</v>
      </c>
      <c r="X155" s="80" t="s">
        <v>53</v>
      </c>
      <c r="Y155" s="80" t="s">
        <v>53</v>
      </c>
      <c r="Z155" s="80" t="s">
        <v>53</v>
      </c>
      <c r="AA155" s="123" t="s">
        <v>45</v>
      </c>
      <c r="AB155" s="80" t="s">
        <v>53</v>
      </c>
      <c r="AC155" s="80" t="s">
        <v>53</v>
      </c>
      <c r="AD155" s="80" t="s">
        <v>53</v>
      </c>
      <c r="AE155" s="80" t="s">
        <v>53</v>
      </c>
      <c r="AF155" s="123" t="s">
        <v>45</v>
      </c>
      <c r="AG155" s="80" t="s">
        <v>53</v>
      </c>
      <c r="AH155" s="80" t="s">
        <v>53</v>
      </c>
      <c r="AI155" s="80" t="s">
        <v>53</v>
      </c>
      <c r="AJ155" s="80" t="s">
        <v>53</v>
      </c>
      <c r="AK155" s="123" t="s">
        <v>45</v>
      </c>
      <c r="AL155" s="80" t="s">
        <v>53</v>
      </c>
      <c r="AM155" s="80" t="s">
        <v>53</v>
      </c>
      <c r="AN155" s="80" t="s">
        <v>53</v>
      </c>
      <c r="AO155" s="80" t="s">
        <v>53</v>
      </c>
      <c r="AP155" s="171">
        <v>100</v>
      </c>
      <c r="AQ155" s="152">
        <v>88</v>
      </c>
      <c r="AR155" s="152">
        <v>90</v>
      </c>
      <c r="AS155" s="152">
        <v>87</v>
      </c>
      <c r="AT155" s="152">
        <v>80</v>
      </c>
      <c r="AU155" s="171">
        <v>80</v>
      </c>
      <c r="AV155" s="152">
        <v>81</v>
      </c>
      <c r="AW155" s="152">
        <v>79</v>
      </c>
      <c r="AX155" s="152">
        <v>94</v>
      </c>
      <c r="AY155" s="152">
        <v>94</v>
      </c>
      <c r="AZ155" s="171">
        <v>94</v>
      </c>
      <c r="BA155" s="152">
        <v>103</v>
      </c>
    </row>
    <row r="156" spans="1:53" ht="15" customHeight="1">
      <c r="A156" s="69" t="s">
        <v>248</v>
      </c>
      <c r="B156" s="123" t="s">
        <v>45</v>
      </c>
      <c r="C156" s="80" t="s">
        <v>53</v>
      </c>
      <c r="D156" s="80" t="s">
        <v>53</v>
      </c>
      <c r="E156" s="80" t="s">
        <v>53</v>
      </c>
      <c r="F156" s="80" t="s">
        <v>53</v>
      </c>
      <c r="G156" s="123" t="s">
        <v>45</v>
      </c>
      <c r="H156" s="80" t="s">
        <v>53</v>
      </c>
      <c r="I156" s="80" t="s">
        <v>53</v>
      </c>
      <c r="J156" s="80" t="s">
        <v>53</v>
      </c>
      <c r="K156" s="80" t="s">
        <v>53</v>
      </c>
      <c r="L156" s="123" t="s">
        <v>45</v>
      </c>
      <c r="M156" s="80" t="s">
        <v>53</v>
      </c>
      <c r="N156" s="80" t="s">
        <v>53</v>
      </c>
      <c r="O156" s="80" t="s">
        <v>53</v>
      </c>
      <c r="P156" s="80" t="s">
        <v>53</v>
      </c>
      <c r="Q156" s="123" t="s">
        <v>45</v>
      </c>
      <c r="R156" s="80" t="s">
        <v>53</v>
      </c>
      <c r="S156" s="80" t="s">
        <v>53</v>
      </c>
      <c r="T156" s="80" t="s">
        <v>53</v>
      </c>
      <c r="U156" s="80" t="s">
        <v>53</v>
      </c>
      <c r="V156" s="123" t="s">
        <v>45</v>
      </c>
      <c r="W156" s="80" t="s">
        <v>53</v>
      </c>
      <c r="X156" s="80" t="s">
        <v>53</v>
      </c>
      <c r="Y156" s="80" t="s">
        <v>53</v>
      </c>
      <c r="Z156" s="80" t="s">
        <v>53</v>
      </c>
      <c r="AA156" s="123" t="s">
        <v>45</v>
      </c>
      <c r="AB156" s="80" t="s">
        <v>53</v>
      </c>
      <c r="AC156" s="80" t="s">
        <v>53</v>
      </c>
      <c r="AD156" s="80" t="s">
        <v>53</v>
      </c>
      <c r="AE156" s="80" t="s">
        <v>53</v>
      </c>
      <c r="AF156" s="123" t="s">
        <v>45</v>
      </c>
      <c r="AG156" s="80" t="s">
        <v>53</v>
      </c>
      <c r="AH156" s="80" t="s">
        <v>53</v>
      </c>
      <c r="AI156" s="80" t="s">
        <v>53</v>
      </c>
      <c r="AJ156" s="80" t="s">
        <v>53</v>
      </c>
      <c r="AK156" s="123" t="s">
        <v>45</v>
      </c>
      <c r="AL156" s="80" t="s">
        <v>53</v>
      </c>
      <c r="AM156" s="80" t="s">
        <v>53</v>
      </c>
      <c r="AN156" s="80" t="s">
        <v>53</v>
      </c>
      <c r="AO156" s="80" t="s">
        <v>53</v>
      </c>
      <c r="AP156" s="215" t="s">
        <v>152</v>
      </c>
      <c r="AQ156" s="151" t="s">
        <v>152</v>
      </c>
      <c r="AR156" s="151" t="s">
        <v>152</v>
      </c>
      <c r="AS156" s="152">
        <v>665</v>
      </c>
      <c r="AT156" s="151" t="s">
        <v>152</v>
      </c>
      <c r="AU156" s="215" t="s">
        <v>152</v>
      </c>
      <c r="AV156" s="151" t="s">
        <v>152</v>
      </c>
      <c r="AW156" s="151" t="s">
        <v>152</v>
      </c>
      <c r="AX156" s="152">
        <v>708</v>
      </c>
      <c r="AY156" s="151" t="s">
        <v>152</v>
      </c>
      <c r="AZ156" s="215" t="s">
        <v>152</v>
      </c>
      <c r="BA156" s="151" t="s">
        <v>152</v>
      </c>
    </row>
    <row r="157" spans="1:53" ht="15" customHeight="1">
      <c r="A157" s="40" t="s">
        <v>249</v>
      </c>
      <c r="B157" s="40"/>
      <c r="C157" s="214"/>
      <c r="D157" s="214"/>
      <c r="E157" s="214"/>
      <c r="F157" s="214"/>
      <c r="G157" s="40"/>
      <c r="H157" s="214"/>
      <c r="I157" s="214"/>
      <c r="J157" s="214"/>
      <c r="K157" s="214"/>
      <c r="L157" s="40"/>
      <c r="M157" s="214"/>
      <c r="N157" s="214"/>
      <c r="O157" s="214"/>
      <c r="P157" s="214"/>
      <c r="Q157" s="40"/>
      <c r="R157" s="214"/>
      <c r="S157" s="214"/>
      <c r="T157" s="214"/>
      <c r="U157" s="214"/>
      <c r="V157" s="40"/>
      <c r="W157" s="214"/>
      <c r="X157" s="214"/>
      <c r="Y157" s="214"/>
      <c r="Z157" s="214"/>
      <c r="AA157" s="40"/>
      <c r="AB157" s="214"/>
      <c r="AC157" s="214"/>
      <c r="AD157" s="214"/>
      <c r="AE157" s="214"/>
      <c r="AF157" s="40"/>
      <c r="AG157" s="214"/>
      <c r="AH157" s="214"/>
      <c r="AI157" s="214"/>
      <c r="AJ157" s="214"/>
      <c r="AK157" s="40"/>
      <c r="AL157" s="214"/>
      <c r="AM157" s="214"/>
      <c r="AN157" s="214"/>
      <c r="AO157" s="214"/>
      <c r="AP157" s="40"/>
      <c r="AQ157" s="214">
        <v>5212</v>
      </c>
      <c r="AR157" s="214">
        <v>4830</v>
      </c>
      <c r="AS157" s="214">
        <v>4943</v>
      </c>
      <c r="AT157" s="214">
        <v>3966</v>
      </c>
      <c r="AU157" s="214">
        <v>3966</v>
      </c>
      <c r="AV157" s="214">
        <v>3806</v>
      </c>
      <c r="AW157" s="214">
        <v>3075</v>
      </c>
      <c r="AX157" s="214">
        <v>3533</v>
      </c>
      <c r="AY157" s="214">
        <v>3857</v>
      </c>
      <c r="AZ157" s="214">
        <v>3857</v>
      </c>
      <c r="BA157" s="214">
        <v>4289</v>
      </c>
    </row>
    <row r="158" spans="1:53" ht="15" customHeight="1">
      <c r="A158" s="69" t="s">
        <v>252</v>
      </c>
      <c r="B158" s="123" t="s">
        <v>45</v>
      </c>
      <c r="C158" s="80" t="s">
        <v>53</v>
      </c>
      <c r="D158" s="80" t="s">
        <v>53</v>
      </c>
      <c r="E158" s="80" t="s">
        <v>53</v>
      </c>
      <c r="F158" s="80" t="s">
        <v>53</v>
      </c>
      <c r="G158" s="123" t="s">
        <v>45</v>
      </c>
      <c r="H158" s="80" t="s">
        <v>53</v>
      </c>
      <c r="I158" s="80" t="s">
        <v>53</v>
      </c>
      <c r="J158" s="80" t="s">
        <v>53</v>
      </c>
      <c r="K158" s="80" t="s">
        <v>53</v>
      </c>
      <c r="L158" s="123" t="s">
        <v>45</v>
      </c>
      <c r="M158" s="80" t="s">
        <v>53</v>
      </c>
      <c r="N158" s="80" t="s">
        <v>53</v>
      </c>
      <c r="O158" s="80" t="s">
        <v>53</v>
      </c>
      <c r="P158" s="80" t="s">
        <v>53</v>
      </c>
      <c r="Q158" s="123" t="s">
        <v>45</v>
      </c>
      <c r="R158" s="80" t="s">
        <v>53</v>
      </c>
      <c r="S158" s="80" t="s">
        <v>53</v>
      </c>
      <c r="T158" s="80" t="s">
        <v>53</v>
      </c>
      <c r="U158" s="80" t="s">
        <v>53</v>
      </c>
      <c r="V158" s="123" t="s">
        <v>45</v>
      </c>
      <c r="W158" s="80" t="s">
        <v>53</v>
      </c>
      <c r="X158" s="80" t="s">
        <v>53</v>
      </c>
      <c r="Y158" s="80" t="s">
        <v>53</v>
      </c>
      <c r="Z158" s="80" t="s">
        <v>53</v>
      </c>
      <c r="AA158" s="123" t="s">
        <v>45</v>
      </c>
      <c r="AB158" s="80" t="s">
        <v>53</v>
      </c>
      <c r="AC158" s="80" t="s">
        <v>53</v>
      </c>
      <c r="AD158" s="80" t="s">
        <v>53</v>
      </c>
      <c r="AE158" s="80" t="s">
        <v>53</v>
      </c>
      <c r="AF158" s="123" t="s">
        <v>45</v>
      </c>
      <c r="AG158" s="80" t="s">
        <v>53</v>
      </c>
      <c r="AH158" s="80" t="s">
        <v>53</v>
      </c>
      <c r="AI158" s="80" t="s">
        <v>53</v>
      </c>
      <c r="AJ158" s="80" t="s">
        <v>53</v>
      </c>
      <c r="AK158" s="123" t="s">
        <v>45</v>
      </c>
      <c r="AL158" s="80" t="s">
        <v>53</v>
      </c>
      <c r="AM158" s="80" t="s">
        <v>53</v>
      </c>
      <c r="AN158" s="80" t="s">
        <v>53</v>
      </c>
      <c r="AO158" s="80" t="s">
        <v>53</v>
      </c>
      <c r="AP158" s="171">
        <v>8800</v>
      </c>
      <c r="AQ158" s="152">
        <v>8532</v>
      </c>
      <c r="AR158" s="152">
        <v>9546</v>
      </c>
      <c r="AS158" s="152">
        <v>9111</v>
      </c>
      <c r="AT158" s="152">
        <v>9128</v>
      </c>
      <c r="AU158" s="171">
        <v>9128</v>
      </c>
      <c r="AV158" s="152">
        <v>9109</v>
      </c>
      <c r="AW158" s="152">
        <v>10561</v>
      </c>
      <c r="AX158" s="152">
        <v>10978</v>
      </c>
      <c r="AY158" s="152">
        <v>10229</v>
      </c>
      <c r="AZ158" s="171">
        <v>10229</v>
      </c>
      <c r="BA158" s="152">
        <v>10547</v>
      </c>
    </row>
    <row r="159" spans="1:53" ht="15" customHeight="1">
      <c r="A159" s="69" t="s">
        <v>271</v>
      </c>
      <c r="B159" s="123"/>
      <c r="C159" s="80"/>
      <c r="D159" s="80"/>
      <c r="E159" s="80"/>
      <c r="F159" s="80"/>
      <c r="G159" s="123"/>
      <c r="H159" s="80"/>
      <c r="I159" s="80"/>
      <c r="J159" s="80"/>
      <c r="K159" s="80"/>
      <c r="L159" s="123"/>
      <c r="M159" s="80"/>
      <c r="N159" s="80"/>
      <c r="O159" s="80"/>
      <c r="P159" s="80"/>
      <c r="Q159" s="123"/>
      <c r="R159" s="80"/>
      <c r="S159" s="80"/>
      <c r="T159" s="80"/>
      <c r="U159" s="80"/>
      <c r="V159" s="123"/>
      <c r="W159" s="80"/>
      <c r="X159" s="80"/>
      <c r="Y159" s="80"/>
      <c r="Z159" s="80"/>
      <c r="AA159" s="123"/>
      <c r="AB159" s="80"/>
      <c r="AC159" s="80"/>
      <c r="AD159" s="80"/>
      <c r="AE159" s="80"/>
      <c r="AF159" s="123"/>
      <c r="AG159" s="80"/>
      <c r="AH159" s="80"/>
      <c r="AI159" s="80"/>
      <c r="AJ159" s="80"/>
      <c r="AK159" s="123"/>
      <c r="AL159" s="80"/>
      <c r="AM159" s="80"/>
      <c r="AN159" s="80"/>
      <c r="AO159" s="80"/>
      <c r="AP159" s="171"/>
      <c r="AQ159" s="152"/>
      <c r="AR159" s="152"/>
      <c r="AS159" s="152"/>
      <c r="AT159" s="152"/>
      <c r="AU159" s="171"/>
      <c r="AV159" s="152"/>
      <c r="AW159" s="152"/>
      <c r="AX159" s="152"/>
      <c r="AY159" s="152"/>
      <c r="AZ159" s="171"/>
      <c r="BA159" s="152">
        <v>1006</v>
      </c>
    </row>
    <row r="160" spans="1:53" ht="15" customHeight="1">
      <c r="A160" s="69" t="s">
        <v>246</v>
      </c>
      <c r="B160" s="123" t="s">
        <v>45</v>
      </c>
      <c r="C160" s="80" t="s">
        <v>53</v>
      </c>
      <c r="D160" s="80" t="s">
        <v>53</v>
      </c>
      <c r="E160" s="80" t="s">
        <v>53</v>
      </c>
      <c r="F160" s="80" t="s">
        <v>53</v>
      </c>
      <c r="G160" s="123" t="s">
        <v>45</v>
      </c>
      <c r="H160" s="80" t="s">
        <v>53</v>
      </c>
      <c r="I160" s="80" t="s">
        <v>53</v>
      </c>
      <c r="J160" s="80" t="s">
        <v>53</v>
      </c>
      <c r="K160" s="80" t="s">
        <v>53</v>
      </c>
      <c r="L160" s="123" t="s">
        <v>45</v>
      </c>
      <c r="M160" s="80" t="s">
        <v>53</v>
      </c>
      <c r="N160" s="80" t="s">
        <v>53</v>
      </c>
      <c r="O160" s="80" t="s">
        <v>53</v>
      </c>
      <c r="P160" s="80" t="s">
        <v>53</v>
      </c>
      <c r="Q160" s="123" t="s">
        <v>45</v>
      </c>
      <c r="R160" s="80" t="s">
        <v>53</v>
      </c>
      <c r="S160" s="80" t="s">
        <v>53</v>
      </c>
      <c r="T160" s="80" t="s">
        <v>53</v>
      </c>
      <c r="U160" s="80" t="s">
        <v>53</v>
      </c>
      <c r="V160" s="123" t="s">
        <v>45</v>
      </c>
      <c r="W160" s="80" t="s">
        <v>53</v>
      </c>
      <c r="X160" s="80" t="s">
        <v>53</v>
      </c>
      <c r="Y160" s="80" t="s">
        <v>53</v>
      </c>
      <c r="Z160" s="80" t="s">
        <v>53</v>
      </c>
      <c r="AA160" s="123" t="s">
        <v>45</v>
      </c>
      <c r="AB160" s="80" t="s">
        <v>53</v>
      </c>
      <c r="AC160" s="80" t="s">
        <v>53</v>
      </c>
      <c r="AD160" s="80" t="s">
        <v>53</v>
      </c>
      <c r="AE160" s="80" t="s">
        <v>53</v>
      </c>
      <c r="AF160" s="123" t="s">
        <v>45</v>
      </c>
      <c r="AG160" s="80" t="s">
        <v>53</v>
      </c>
      <c r="AH160" s="80" t="s">
        <v>53</v>
      </c>
      <c r="AI160" s="80" t="s">
        <v>53</v>
      </c>
      <c r="AJ160" s="80" t="s">
        <v>53</v>
      </c>
      <c r="AK160" s="123" t="s">
        <v>45</v>
      </c>
      <c r="AL160" s="80" t="s">
        <v>53</v>
      </c>
      <c r="AM160" s="80" t="s">
        <v>53</v>
      </c>
      <c r="AN160" s="80" t="s">
        <v>53</v>
      </c>
      <c r="AO160" s="80" t="s">
        <v>53</v>
      </c>
      <c r="AP160" s="171">
        <v>240</v>
      </c>
      <c r="AQ160" s="152">
        <v>238</v>
      </c>
      <c r="AR160" s="152">
        <v>239</v>
      </c>
      <c r="AS160" s="152">
        <v>237</v>
      </c>
      <c r="AT160" s="152">
        <v>258</v>
      </c>
      <c r="AU160" s="171">
        <v>258</v>
      </c>
      <c r="AV160" s="152">
        <v>260</v>
      </c>
      <c r="AW160" s="152">
        <v>259</v>
      </c>
      <c r="AX160" s="152">
        <v>260</v>
      </c>
      <c r="AY160" s="152">
        <v>272</v>
      </c>
      <c r="AZ160" s="171">
        <v>272</v>
      </c>
      <c r="BA160" s="152">
        <v>272</v>
      </c>
    </row>
    <row r="161" spans="1:16384" ht="15" customHeight="1">
      <c r="A161" s="69" t="s">
        <v>253</v>
      </c>
      <c r="B161" s="123" t="s">
        <v>45</v>
      </c>
      <c r="C161" s="80" t="s">
        <v>53</v>
      </c>
      <c r="D161" s="80" t="s">
        <v>53</v>
      </c>
      <c r="E161" s="80" t="s">
        <v>53</v>
      </c>
      <c r="F161" s="80" t="s">
        <v>53</v>
      </c>
      <c r="G161" s="123" t="s">
        <v>45</v>
      </c>
      <c r="H161" s="80" t="s">
        <v>53</v>
      </c>
      <c r="I161" s="80" t="s">
        <v>53</v>
      </c>
      <c r="J161" s="80" t="s">
        <v>53</v>
      </c>
      <c r="K161" s="80" t="s">
        <v>53</v>
      </c>
      <c r="L161" s="123" t="s">
        <v>45</v>
      </c>
      <c r="M161" s="80" t="s">
        <v>53</v>
      </c>
      <c r="N161" s="80" t="s">
        <v>53</v>
      </c>
      <c r="O161" s="80" t="s">
        <v>53</v>
      </c>
      <c r="P161" s="80" t="s">
        <v>53</v>
      </c>
      <c r="Q161" s="123" t="s">
        <v>45</v>
      </c>
      <c r="R161" s="80" t="s">
        <v>53</v>
      </c>
      <c r="S161" s="80" t="s">
        <v>53</v>
      </c>
      <c r="T161" s="80" t="s">
        <v>53</v>
      </c>
      <c r="U161" s="80" t="s">
        <v>53</v>
      </c>
      <c r="V161" s="123" t="s">
        <v>45</v>
      </c>
      <c r="W161" s="80" t="s">
        <v>53</v>
      </c>
      <c r="X161" s="80" t="s">
        <v>53</v>
      </c>
      <c r="Y161" s="80" t="s">
        <v>53</v>
      </c>
      <c r="Z161" s="80" t="s">
        <v>53</v>
      </c>
      <c r="AA161" s="123" t="s">
        <v>45</v>
      </c>
      <c r="AB161" s="80" t="s">
        <v>53</v>
      </c>
      <c r="AC161" s="80" t="s">
        <v>53</v>
      </c>
      <c r="AD161" s="80" t="s">
        <v>53</v>
      </c>
      <c r="AE161" s="80" t="s">
        <v>53</v>
      </c>
      <c r="AF161" s="123" t="s">
        <v>45</v>
      </c>
      <c r="AG161" s="80" t="s">
        <v>53</v>
      </c>
      <c r="AH161" s="80" t="s">
        <v>53</v>
      </c>
      <c r="AI161" s="80" t="s">
        <v>53</v>
      </c>
      <c r="AJ161" s="80" t="s">
        <v>53</v>
      </c>
      <c r="AK161" s="123" t="s">
        <v>45</v>
      </c>
      <c r="AL161" s="80" t="s">
        <v>53</v>
      </c>
      <c r="AM161" s="80" t="s">
        <v>53</v>
      </c>
      <c r="AN161" s="80" t="s">
        <v>53</v>
      </c>
      <c r="AO161" s="80" t="s">
        <v>53</v>
      </c>
      <c r="AP161" s="171">
        <v>226</v>
      </c>
      <c r="AQ161" s="152">
        <v>262</v>
      </c>
      <c r="AR161" s="152">
        <v>252</v>
      </c>
      <c r="AS161" s="152">
        <v>257</v>
      </c>
      <c r="AT161" s="152">
        <v>244</v>
      </c>
      <c r="AU161" s="171">
        <v>244</v>
      </c>
      <c r="AV161" s="152">
        <v>250</v>
      </c>
      <c r="AW161" s="152">
        <v>251</v>
      </c>
      <c r="AX161" s="152">
        <v>292</v>
      </c>
      <c r="AY161" s="152">
        <v>234</v>
      </c>
      <c r="AZ161" s="171">
        <v>234</v>
      </c>
      <c r="BA161" s="152">
        <v>258</v>
      </c>
    </row>
    <row r="162" spans="1:16384" ht="15" customHeight="1">
      <c r="A162" s="69" t="s">
        <v>254</v>
      </c>
      <c r="B162" s="123" t="s">
        <v>45</v>
      </c>
      <c r="C162" s="80" t="s">
        <v>53</v>
      </c>
      <c r="D162" s="80" t="s">
        <v>53</v>
      </c>
      <c r="E162" s="80" t="s">
        <v>53</v>
      </c>
      <c r="F162" s="80" t="s">
        <v>53</v>
      </c>
      <c r="G162" s="123" t="s">
        <v>45</v>
      </c>
      <c r="H162" s="80" t="s">
        <v>53</v>
      </c>
      <c r="I162" s="80" t="s">
        <v>53</v>
      </c>
      <c r="J162" s="80" t="s">
        <v>53</v>
      </c>
      <c r="K162" s="80" t="s">
        <v>53</v>
      </c>
      <c r="L162" s="123" t="s">
        <v>45</v>
      </c>
      <c r="M162" s="80" t="s">
        <v>53</v>
      </c>
      <c r="N162" s="80" t="s">
        <v>53</v>
      </c>
      <c r="O162" s="80" t="s">
        <v>53</v>
      </c>
      <c r="P162" s="80" t="s">
        <v>53</v>
      </c>
      <c r="Q162" s="123" t="s">
        <v>45</v>
      </c>
      <c r="R162" s="80" t="s">
        <v>53</v>
      </c>
      <c r="S162" s="80" t="s">
        <v>53</v>
      </c>
      <c r="T162" s="80" t="s">
        <v>53</v>
      </c>
      <c r="U162" s="80" t="s">
        <v>53</v>
      </c>
      <c r="V162" s="123" t="s">
        <v>45</v>
      </c>
      <c r="W162" s="80" t="s">
        <v>53</v>
      </c>
      <c r="X162" s="80" t="s">
        <v>53</v>
      </c>
      <c r="Y162" s="80" t="s">
        <v>53</v>
      </c>
      <c r="Z162" s="80" t="s">
        <v>53</v>
      </c>
      <c r="AA162" s="123" t="s">
        <v>45</v>
      </c>
      <c r="AB162" s="80" t="s">
        <v>53</v>
      </c>
      <c r="AC162" s="80" t="s">
        <v>53</v>
      </c>
      <c r="AD162" s="80" t="s">
        <v>53</v>
      </c>
      <c r="AE162" s="80" t="s">
        <v>53</v>
      </c>
      <c r="AF162" s="123" t="s">
        <v>45</v>
      </c>
      <c r="AG162" s="80" t="s">
        <v>53</v>
      </c>
      <c r="AH162" s="80" t="s">
        <v>53</v>
      </c>
      <c r="AI162" s="80" t="s">
        <v>53</v>
      </c>
      <c r="AJ162" s="80" t="s">
        <v>53</v>
      </c>
      <c r="AK162" s="123" t="s">
        <v>45</v>
      </c>
      <c r="AL162" s="80" t="s">
        <v>53</v>
      </c>
      <c r="AM162" s="80" t="s">
        <v>53</v>
      </c>
      <c r="AN162" s="80" t="s">
        <v>53</v>
      </c>
      <c r="AO162" s="80" t="s">
        <v>53</v>
      </c>
      <c r="AP162" s="171">
        <v>51</v>
      </c>
      <c r="AQ162" s="152">
        <v>50</v>
      </c>
      <c r="AR162" s="152">
        <v>75</v>
      </c>
      <c r="AS162" s="152">
        <v>81</v>
      </c>
      <c r="AT162" s="152">
        <v>101</v>
      </c>
      <c r="AU162" s="171">
        <v>101</v>
      </c>
      <c r="AV162" s="152">
        <v>103</v>
      </c>
      <c r="AW162" s="152">
        <v>99</v>
      </c>
      <c r="AX162" s="152">
        <v>104</v>
      </c>
      <c r="AY162" s="152">
        <v>73</v>
      </c>
      <c r="AZ162" s="171">
        <v>73</v>
      </c>
      <c r="BA162" s="152">
        <v>86</v>
      </c>
    </row>
    <row r="163" spans="1:16384" ht="15" customHeight="1">
      <c r="A163" s="69" t="s">
        <v>247</v>
      </c>
      <c r="B163" s="123" t="s">
        <v>45</v>
      </c>
      <c r="C163" s="80" t="s">
        <v>53</v>
      </c>
      <c r="D163" s="80" t="s">
        <v>53</v>
      </c>
      <c r="E163" s="80" t="s">
        <v>53</v>
      </c>
      <c r="F163" s="80" t="s">
        <v>53</v>
      </c>
      <c r="G163" s="123" t="s">
        <v>45</v>
      </c>
      <c r="H163" s="80" t="s">
        <v>53</v>
      </c>
      <c r="I163" s="80" t="s">
        <v>53</v>
      </c>
      <c r="J163" s="80" t="s">
        <v>53</v>
      </c>
      <c r="K163" s="80" t="s">
        <v>53</v>
      </c>
      <c r="L163" s="123" t="s">
        <v>45</v>
      </c>
      <c r="M163" s="80" t="s">
        <v>53</v>
      </c>
      <c r="N163" s="80" t="s">
        <v>53</v>
      </c>
      <c r="O163" s="80" t="s">
        <v>53</v>
      </c>
      <c r="P163" s="80" t="s">
        <v>53</v>
      </c>
      <c r="Q163" s="123" t="s">
        <v>45</v>
      </c>
      <c r="R163" s="80" t="s">
        <v>53</v>
      </c>
      <c r="S163" s="80" t="s">
        <v>53</v>
      </c>
      <c r="T163" s="80" t="s">
        <v>53</v>
      </c>
      <c r="U163" s="80" t="s">
        <v>53</v>
      </c>
      <c r="V163" s="123" t="s">
        <v>45</v>
      </c>
      <c r="W163" s="80" t="s">
        <v>53</v>
      </c>
      <c r="X163" s="80" t="s">
        <v>53</v>
      </c>
      <c r="Y163" s="80" t="s">
        <v>53</v>
      </c>
      <c r="Z163" s="80" t="s">
        <v>53</v>
      </c>
      <c r="AA163" s="123" t="s">
        <v>45</v>
      </c>
      <c r="AB163" s="80" t="s">
        <v>53</v>
      </c>
      <c r="AC163" s="80" t="s">
        <v>53</v>
      </c>
      <c r="AD163" s="80" t="s">
        <v>53</v>
      </c>
      <c r="AE163" s="80" t="s">
        <v>53</v>
      </c>
      <c r="AF163" s="123" t="s">
        <v>45</v>
      </c>
      <c r="AG163" s="80" t="s">
        <v>53</v>
      </c>
      <c r="AH163" s="80" t="s">
        <v>53</v>
      </c>
      <c r="AI163" s="80" t="s">
        <v>53</v>
      </c>
      <c r="AJ163" s="80" t="s">
        <v>53</v>
      </c>
      <c r="AK163" s="123" t="s">
        <v>45</v>
      </c>
      <c r="AL163" s="80" t="s">
        <v>53</v>
      </c>
      <c r="AM163" s="80" t="s">
        <v>53</v>
      </c>
      <c r="AN163" s="80" t="s">
        <v>53</v>
      </c>
      <c r="AO163" s="80" t="s">
        <v>53</v>
      </c>
      <c r="AP163" s="171">
        <v>46</v>
      </c>
      <c r="AQ163" s="152">
        <v>46</v>
      </c>
      <c r="AR163" s="152">
        <v>46</v>
      </c>
      <c r="AS163" s="152">
        <v>47</v>
      </c>
      <c r="AT163" s="152">
        <v>47</v>
      </c>
      <c r="AU163" s="171">
        <v>47</v>
      </c>
      <c r="AV163" s="152">
        <v>47</v>
      </c>
      <c r="AW163" s="152">
        <v>48</v>
      </c>
      <c r="AX163" s="152">
        <v>48</v>
      </c>
      <c r="AY163" s="152">
        <v>40</v>
      </c>
      <c r="AZ163" s="171">
        <v>40</v>
      </c>
      <c r="BA163" s="152">
        <v>39</v>
      </c>
    </row>
    <row r="164" spans="1:16384" ht="15" customHeight="1">
      <c r="A164" s="40" t="s">
        <v>250</v>
      </c>
      <c r="B164" s="40"/>
      <c r="C164" s="40"/>
      <c r="D164" s="40"/>
      <c r="E164" s="40"/>
      <c r="F164" s="40"/>
      <c r="G164" s="40"/>
      <c r="H164" s="40"/>
      <c r="I164" s="40"/>
      <c r="J164" s="40"/>
      <c r="K164" s="40"/>
      <c r="L164" s="40"/>
      <c r="M164" s="40"/>
      <c r="N164" s="40"/>
      <c r="O164" s="40"/>
      <c r="P164" s="40"/>
      <c r="Q164" s="40"/>
      <c r="R164" s="40"/>
      <c r="S164" s="40"/>
      <c r="T164" s="40"/>
      <c r="U164" s="40"/>
      <c r="V164" s="40"/>
      <c r="W164" s="40"/>
      <c r="X164" s="40"/>
      <c r="Y164" s="40"/>
      <c r="Z164" s="40"/>
      <c r="AA164" s="40"/>
      <c r="AB164" s="40"/>
      <c r="AC164" s="40"/>
      <c r="AD164" s="40"/>
      <c r="AE164" s="40"/>
      <c r="AF164" s="40"/>
      <c r="AG164" s="40"/>
      <c r="AH164" s="40"/>
      <c r="AI164" s="40"/>
      <c r="AJ164" s="40"/>
      <c r="AK164" s="40"/>
      <c r="AL164" s="214"/>
      <c r="AM164" s="214"/>
      <c r="AN164" s="214"/>
      <c r="AO164" s="214"/>
      <c r="AP164" s="214">
        <v>9363</v>
      </c>
      <c r="AQ164" s="214">
        <v>9128</v>
      </c>
      <c r="AR164" s="214">
        <v>10158</v>
      </c>
      <c r="AS164" s="214">
        <v>9733</v>
      </c>
      <c r="AT164" s="214">
        <v>9778</v>
      </c>
      <c r="AU164" s="214">
        <v>9778</v>
      </c>
      <c r="AV164" s="214">
        <v>9769</v>
      </c>
      <c r="AW164" s="214">
        <v>11218</v>
      </c>
      <c r="AX164" s="214">
        <v>11682</v>
      </c>
      <c r="AY164" s="214">
        <v>10848</v>
      </c>
      <c r="AZ164" s="214">
        <v>10848</v>
      </c>
      <c r="BA164" s="214">
        <v>12208</v>
      </c>
    </row>
    <row r="165" spans="1:16384" ht="15" customHeight="1">
      <c r="A165" s="40" t="s">
        <v>251</v>
      </c>
      <c r="B165" s="40"/>
      <c r="C165" s="40"/>
      <c r="D165" s="40"/>
      <c r="E165" s="40"/>
      <c r="F165" s="40"/>
      <c r="G165" s="40"/>
      <c r="H165" s="40"/>
      <c r="I165" s="40"/>
      <c r="J165" s="40"/>
      <c r="K165" s="40"/>
      <c r="L165" s="40"/>
      <c r="M165" s="40"/>
      <c r="N165" s="40"/>
      <c r="O165" s="40"/>
      <c r="P165" s="40"/>
      <c r="Q165" s="40"/>
      <c r="R165" s="40"/>
      <c r="S165" s="40"/>
      <c r="T165" s="40"/>
      <c r="U165" s="40"/>
      <c r="V165" s="40"/>
      <c r="W165" s="40"/>
      <c r="X165" s="40"/>
      <c r="Y165" s="40"/>
      <c r="Z165" s="40"/>
      <c r="AA165" s="40"/>
      <c r="AB165" s="40"/>
      <c r="AC165" s="40"/>
      <c r="AD165" s="40"/>
      <c r="AE165" s="40"/>
      <c r="AF165" s="40"/>
      <c r="AG165" s="40"/>
      <c r="AH165" s="40"/>
      <c r="AI165" s="40"/>
      <c r="AJ165" s="40"/>
      <c r="AK165" s="40"/>
      <c r="AL165" s="214"/>
      <c r="AM165" s="214"/>
      <c r="AN165" s="214"/>
      <c r="AO165" s="214"/>
      <c r="AP165" s="219">
        <v>2411</v>
      </c>
      <c r="AQ165" s="214">
        <v>2693</v>
      </c>
      <c r="AR165" s="214">
        <v>2299</v>
      </c>
      <c r="AS165" s="214">
        <v>2027</v>
      </c>
      <c r="AT165" s="214">
        <v>2203</v>
      </c>
      <c r="AU165" s="214">
        <v>2203</v>
      </c>
      <c r="AV165" s="214">
        <v>2559</v>
      </c>
      <c r="AW165" s="214">
        <v>2325</v>
      </c>
      <c r="AX165" s="214">
        <v>1927</v>
      </c>
      <c r="AY165" s="214">
        <v>2144</v>
      </c>
      <c r="AZ165" s="214">
        <v>2144</v>
      </c>
      <c r="BA165" s="214">
        <v>2425</v>
      </c>
    </row>
    <row r="166" spans="1:16384" ht="10.15" customHeight="1">
      <c r="C166"/>
      <c r="D166"/>
      <c r="E166"/>
      <c r="F166"/>
      <c r="G166"/>
      <c r="H166"/>
      <c r="I166"/>
      <c r="J166"/>
      <c r="K166"/>
      <c r="L166"/>
      <c r="M166"/>
      <c r="N166"/>
      <c r="O166"/>
      <c r="P166"/>
      <c r="Q166" s="216"/>
      <c r="R166"/>
      <c r="S166"/>
      <c r="T166"/>
      <c r="U166"/>
      <c r="V166" s="216"/>
      <c r="W166"/>
      <c r="X166"/>
      <c r="Y166"/>
      <c r="Z166"/>
      <c r="AA166" s="216"/>
      <c r="AB166"/>
      <c r="AC166"/>
      <c r="AD166"/>
      <c r="AE166"/>
      <c r="AF166" s="216"/>
      <c r="AG166"/>
      <c r="AH166"/>
      <c r="AI166"/>
      <c r="AJ166"/>
      <c r="AK166" s="216"/>
      <c r="AL166"/>
      <c r="AM166"/>
      <c r="AN166"/>
      <c r="AO166"/>
      <c r="AP166" s="216"/>
      <c r="AQ166"/>
      <c r="AR166"/>
      <c r="AS166"/>
      <c r="AT166"/>
      <c r="AU166" s="216"/>
      <c r="AV166"/>
      <c r="AW166"/>
      <c r="AX166"/>
      <c r="AY166"/>
      <c r="AZ166" s="216"/>
      <c r="BA166"/>
      <c r="BB166"/>
      <c r="BC166"/>
      <c r="BD166"/>
      <c r="BE166"/>
      <c r="BF166"/>
      <c r="BG166"/>
      <c r="BH166"/>
      <c r="BI166"/>
      <c r="BJ166"/>
      <c r="BK166"/>
      <c r="BL166"/>
      <c r="BM166"/>
      <c r="BN166"/>
      <c r="BO166"/>
      <c r="BP166"/>
      <c r="BQ166"/>
      <c r="BR166"/>
      <c r="BS166"/>
      <c r="BT166"/>
      <c r="BU166"/>
      <c r="BV166"/>
      <c r="BW166"/>
      <c r="BX166"/>
      <c r="BY166"/>
      <c r="BZ166"/>
      <c r="CA166"/>
      <c r="CB166"/>
      <c r="CC166"/>
      <c r="CD166"/>
      <c r="CE166"/>
      <c r="CF166"/>
      <c r="CG166"/>
      <c r="CH166"/>
      <c r="CI166"/>
      <c r="CJ166"/>
      <c r="CK166"/>
      <c r="CL166"/>
      <c r="CM166"/>
      <c r="CN166"/>
      <c r="CO166"/>
      <c r="CP166"/>
      <c r="CQ166"/>
      <c r="CR166"/>
      <c r="CS166"/>
      <c r="CT166"/>
      <c r="CU166"/>
      <c r="CV166"/>
      <c r="CW166"/>
      <c r="CX166"/>
      <c r="CY166"/>
      <c r="CZ166"/>
      <c r="DA166"/>
      <c r="DB166"/>
      <c r="DC166"/>
      <c r="DD166"/>
      <c r="DE166"/>
      <c r="DF166"/>
      <c r="DG166"/>
      <c r="DH166"/>
      <c r="DI166"/>
      <c r="DJ166"/>
      <c r="DK166"/>
      <c r="DL166"/>
      <c r="DM166"/>
      <c r="DN166"/>
      <c r="DO166"/>
      <c r="DP166"/>
      <c r="DQ166"/>
      <c r="DR166"/>
      <c r="DS166"/>
      <c r="DT166"/>
      <c r="DU166"/>
      <c r="DV166"/>
      <c r="DW166"/>
      <c r="DX166"/>
      <c r="DY166"/>
      <c r="DZ166"/>
      <c r="EA166"/>
      <c r="EB166"/>
      <c r="EC166"/>
      <c r="ED166"/>
      <c r="EE166"/>
      <c r="EF166"/>
      <c r="EG166"/>
      <c r="EH166"/>
      <c r="EI166"/>
      <c r="EJ166"/>
      <c r="EK166"/>
      <c r="EL166"/>
      <c r="EM166"/>
      <c r="EN166"/>
      <c r="EO166"/>
      <c r="EP166"/>
      <c r="EQ166"/>
      <c r="ER166"/>
      <c r="ES166"/>
      <c r="ET166"/>
      <c r="EU166"/>
      <c r="EV166"/>
      <c r="EW166"/>
      <c r="EX166"/>
      <c r="EY166"/>
      <c r="EZ166"/>
      <c r="FA166"/>
      <c r="FB166"/>
      <c r="FC166"/>
      <c r="FD166"/>
      <c r="FE166"/>
      <c r="FF166"/>
      <c r="FG166"/>
      <c r="FH166"/>
      <c r="FI166"/>
      <c r="FJ166"/>
      <c r="FK166"/>
      <c r="FL166"/>
      <c r="FM166"/>
      <c r="FN166"/>
      <c r="FO166"/>
      <c r="FP166"/>
      <c r="FQ166"/>
      <c r="FR166"/>
      <c r="FS166"/>
      <c r="FT166"/>
      <c r="FU166"/>
      <c r="FV166"/>
      <c r="FW166"/>
      <c r="FX166"/>
      <c r="FY166"/>
      <c r="FZ166"/>
      <c r="GA166"/>
      <c r="GB166"/>
      <c r="GC166"/>
      <c r="GD166"/>
      <c r="GE166"/>
      <c r="GF166"/>
      <c r="GG166"/>
      <c r="GH166"/>
      <c r="GI166"/>
      <c r="GJ166"/>
      <c r="GK166"/>
      <c r="GL166"/>
      <c r="GM166"/>
      <c r="GN166"/>
      <c r="GO166"/>
      <c r="GP166"/>
      <c r="GQ166"/>
      <c r="GR166"/>
      <c r="GS166"/>
      <c r="GT166"/>
      <c r="GU166"/>
      <c r="GV166"/>
      <c r="GW166"/>
      <c r="GX166"/>
      <c r="GY166"/>
      <c r="GZ166"/>
      <c r="HA166"/>
      <c r="HB166"/>
      <c r="HC166"/>
      <c r="HD166"/>
      <c r="HE166"/>
      <c r="HF166"/>
      <c r="HG166"/>
      <c r="HH166"/>
      <c r="HI166"/>
      <c r="HJ166"/>
      <c r="HK166"/>
      <c r="HL166"/>
      <c r="HM166"/>
      <c r="HN166"/>
      <c r="HO166"/>
      <c r="HP166"/>
      <c r="HQ166"/>
      <c r="HR166"/>
      <c r="HS166"/>
      <c r="HT166"/>
      <c r="HU166"/>
      <c r="HV166"/>
      <c r="HW166"/>
      <c r="HX166"/>
      <c r="HY166"/>
      <c r="HZ166"/>
      <c r="IA166"/>
      <c r="IB166"/>
      <c r="IC166"/>
      <c r="ID166"/>
      <c r="IE166"/>
      <c r="IF166"/>
      <c r="IG166"/>
      <c r="IH166"/>
      <c r="II166"/>
      <c r="IJ166"/>
      <c r="IK166"/>
      <c r="IL166"/>
      <c r="IM166"/>
      <c r="IN166"/>
      <c r="IO166"/>
      <c r="IP166"/>
      <c r="IQ166"/>
      <c r="IR166"/>
      <c r="IS166"/>
      <c r="IT166"/>
      <c r="IU166"/>
      <c r="IV166"/>
      <c r="IW166"/>
      <c r="IX166"/>
      <c r="IY166"/>
      <c r="IZ166"/>
      <c r="JA166"/>
      <c r="JB166"/>
      <c r="JC166"/>
      <c r="JD166"/>
      <c r="JE166"/>
      <c r="JF166"/>
      <c r="JG166"/>
      <c r="JH166"/>
      <c r="JI166"/>
      <c r="JJ166"/>
      <c r="JK166"/>
      <c r="JL166"/>
      <c r="JM166"/>
      <c r="JN166"/>
      <c r="JO166"/>
      <c r="JP166"/>
      <c r="JQ166"/>
      <c r="JR166"/>
      <c r="JS166"/>
      <c r="JT166"/>
      <c r="JU166"/>
      <c r="JV166"/>
      <c r="JW166"/>
      <c r="JX166"/>
      <c r="JY166"/>
      <c r="JZ166"/>
      <c r="KA166"/>
      <c r="KB166"/>
      <c r="KC166"/>
      <c r="KD166"/>
      <c r="KE166"/>
      <c r="KF166"/>
      <c r="KG166"/>
      <c r="KH166"/>
      <c r="KI166"/>
      <c r="KJ166"/>
      <c r="KK166"/>
      <c r="KL166"/>
      <c r="KM166"/>
      <c r="KN166"/>
      <c r="KO166"/>
      <c r="KP166"/>
      <c r="KQ166"/>
      <c r="KR166"/>
      <c r="KS166"/>
      <c r="KT166"/>
      <c r="KU166"/>
      <c r="KV166"/>
      <c r="KW166"/>
      <c r="KX166"/>
      <c r="KY166"/>
      <c r="KZ166"/>
      <c r="LA166"/>
      <c r="LB166"/>
      <c r="LC166"/>
      <c r="LD166"/>
      <c r="LE166"/>
      <c r="LF166"/>
      <c r="LG166"/>
      <c r="LH166"/>
      <c r="LI166"/>
      <c r="LJ166"/>
      <c r="LK166"/>
      <c r="LL166"/>
      <c r="LM166"/>
      <c r="LN166"/>
      <c r="LO166"/>
      <c r="LP166"/>
      <c r="LQ166"/>
      <c r="LR166"/>
      <c r="LS166"/>
      <c r="LT166"/>
      <c r="LU166"/>
      <c r="LV166"/>
      <c r="LW166"/>
      <c r="LX166"/>
      <c r="LY166"/>
      <c r="LZ166"/>
      <c r="MA166"/>
      <c r="MB166"/>
      <c r="MC166"/>
      <c r="MD166"/>
      <c r="ME166"/>
      <c r="MF166"/>
      <c r="MG166"/>
      <c r="MH166"/>
      <c r="MI166"/>
      <c r="MJ166"/>
      <c r="MK166"/>
      <c r="ML166"/>
      <c r="MM166"/>
      <c r="MN166"/>
      <c r="MO166"/>
      <c r="MP166"/>
      <c r="MQ166"/>
      <c r="MR166"/>
      <c r="MS166"/>
      <c r="MT166"/>
      <c r="MU166"/>
      <c r="MV166"/>
      <c r="MW166"/>
      <c r="MX166"/>
      <c r="MY166"/>
      <c r="MZ166"/>
      <c r="NA166"/>
      <c r="NB166"/>
      <c r="NC166"/>
      <c r="ND166"/>
      <c r="NE166"/>
      <c r="NF166"/>
      <c r="NG166"/>
      <c r="NH166"/>
      <c r="NI166"/>
      <c r="NJ166"/>
      <c r="NK166"/>
      <c r="NL166"/>
      <c r="NM166"/>
      <c r="NN166"/>
      <c r="NO166"/>
      <c r="NP166"/>
      <c r="NQ166"/>
      <c r="NR166"/>
      <c r="NS166"/>
      <c r="NT166"/>
      <c r="NU166"/>
      <c r="NV166"/>
      <c r="NW166"/>
      <c r="NX166"/>
      <c r="NY166"/>
      <c r="NZ166"/>
      <c r="OA166"/>
      <c r="OB166"/>
      <c r="OC166"/>
      <c r="OD166"/>
      <c r="OE166"/>
      <c r="OF166"/>
      <c r="OG166"/>
      <c r="OH166"/>
      <c r="OI166"/>
      <c r="OJ166"/>
      <c r="OK166"/>
      <c r="OL166"/>
      <c r="OM166"/>
      <c r="ON166"/>
      <c r="OO166"/>
      <c r="OP166"/>
      <c r="OQ166"/>
      <c r="OR166"/>
      <c r="OS166"/>
      <c r="OT166"/>
      <c r="OU166"/>
      <c r="OV166"/>
      <c r="OW166"/>
      <c r="OX166"/>
      <c r="OY166"/>
      <c r="OZ166"/>
      <c r="PA166"/>
      <c r="PB166"/>
      <c r="PC166"/>
      <c r="PD166"/>
      <c r="PE166"/>
      <c r="PF166"/>
      <c r="PG166"/>
      <c r="PH166"/>
      <c r="PI166"/>
      <c r="PJ166"/>
      <c r="PK166"/>
      <c r="PL166"/>
      <c r="PM166"/>
      <c r="PN166"/>
      <c r="PO166"/>
      <c r="PP166"/>
      <c r="PQ166"/>
      <c r="PR166"/>
      <c r="PS166"/>
      <c r="PT166"/>
      <c r="PU166"/>
      <c r="PV166"/>
      <c r="PW166"/>
      <c r="PX166"/>
      <c r="PY166"/>
      <c r="PZ166"/>
      <c r="QA166"/>
      <c r="QB166"/>
      <c r="QC166"/>
      <c r="QD166"/>
      <c r="QE166"/>
      <c r="QF166"/>
      <c r="QG166"/>
      <c r="QH166"/>
      <c r="QI166"/>
      <c r="QJ166"/>
      <c r="QK166"/>
      <c r="QL166"/>
      <c r="QM166"/>
      <c r="QN166"/>
      <c r="QO166"/>
      <c r="QP166"/>
      <c r="QQ166"/>
      <c r="QR166"/>
      <c r="QS166"/>
      <c r="QT166"/>
      <c r="QU166"/>
      <c r="QV166"/>
      <c r="QW166"/>
      <c r="QX166"/>
      <c r="QY166"/>
      <c r="QZ166"/>
      <c r="RA166"/>
      <c r="RB166"/>
      <c r="RC166"/>
      <c r="RD166"/>
      <c r="RE166"/>
      <c r="RF166"/>
      <c r="RG166"/>
      <c r="RH166"/>
      <c r="RI166"/>
      <c r="RJ166"/>
      <c r="RK166"/>
      <c r="RL166"/>
      <c r="RM166"/>
      <c r="RN166"/>
      <c r="RO166"/>
      <c r="RP166"/>
      <c r="RQ166"/>
      <c r="RR166"/>
      <c r="RS166"/>
      <c r="RT166"/>
      <c r="RU166"/>
      <c r="RV166"/>
      <c r="RW166"/>
      <c r="RX166"/>
      <c r="RY166"/>
      <c r="RZ166"/>
      <c r="SA166"/>
      <c r="SB166"/>
      <c r="SC166"/>
      <c r="SD166"/>
      <c r="SE166"/>
      <c r="SF166"/>
      <c r="SG166"/>
      <c r="SH166"/>
      <c r="SI166"/>
      <c r="SJ166"/>
      <c r="SK166"/>
      <c r="SL166"/>
      <c r="SM166"/>
      <c r="SN166"/>
      <c r="SO166"/>
      <c r="SP166"/>
      <c r="SQ166"/>
      <c r="SR166"/>
      <c r="SS166"/>
      <c r="ST166"/>
      <c r="SU166"/>
      <c r="SV166"/>
      <c r="SW166"/>
      <c r="SX166"/>
      <c r="SY166"/>
      <c r="SZ166"/>
      <c r="TA166"/>
      <c r="TB166"/>
      <c r="TC166"/>
      <c r="TD166"/>
      <c r="TE166"/>
      <c r="TF166"/>
      <c r="TG166"/>
      <c r="TH166"/>
      <c r="TI166"/>
      <c r="TJ166"/>
      <c r="TK166"/>
      <c r="TL166"/>
      <c r="TM166"/>
      <c r="TN166"/>
      <c r="TO166"/>
      <c r="TP166"/>
      <c r="TQ166"/>
      <c r="TR166"/>
      <c r="TS166"/>
      <c r="TT166"/>
      <c r="TU166"/>
      <c r="TV166"/>
      <c r="TW166"/>
      <c r="TX166"/>
      <c r="TY166"/>
      <c r="TZ166"/>
      <c r="UA166"/>
      <c r="UB166"/>
      <c r="UC166"/>
      <c r="UD166"/>
      <c r="UE166"/>
      <c r="UF166"/>
      <c r="UG166"/>
      <c r="UH166"/>
      <c r="UI166"/>
      <c r="UJ166"/>
      <c r="UK166"/>
      <c r="UL166"/>
      <c r="UM166"/>
      <c r="UN166"/>
      <c r="UO166"/>
      <c r="UP166"/>
      <c r="UQ166"/>
      <c r="UR166"/>
      <c r="US166"/>
      <c r="UT166"/>
      <c r="UU166"/>
      <c r="UV166"/>
      <c r="UW166"/>
      <c r="UX166"/>
      <c r="UY166"/>
      <c r="UZ166"/>
      <c r="VA166"/>
      <c r="VB166"/>
      <c r="VC166"/>
      <c r="VD166"/>
      <c r="VE166"/>
      <c r="VF166"/>
      <c r="VG166"/>
      <c r="VH166"/>
      <c r="VI166"/>
      <c r="VJ166"/>
      <c r="VK166"/>
      <c r="VL166"/>
      <c r="VM166"/>
      <c r="VN166"/>
      <c r="VO166"/>
      <c r="VP166"/>
      <c r="VQ166"/>
      <c r="VR166"/>
      <c r="VS166"/>
      <c r="VT166"/>
      <c r="VU166"/>
      <c r="VV166"/>
      <c r="VW166"/>
      <c r="VX166"/>
      <c r="VY166"/>
      <c r="VZ166"/>
      <c r="WA166"/>
      <c r="WB166"/>
      <c r="WC166"/>
      <c r="WD166"/>
      <c r="WE166"/>
      <c r="WF166"/>
      <c r="WG166"/>
      <c r="WH166"/>
      <c r="WI166"/>
      <c r="WJ166"/>
      <c r="WK166"/>
      <c r="WL166"/>
      <c r="WM166"/>
      <c r="WN166"/>
      <c r="WO166"/>
      <c r="WP166"/>
      <c r="WQ166"/>
      <c r="WR166"/>
      <c r="WS166"/>
      <c r="WT166"/>
      <c r="WU166"/>
      <c r="WV166"/>
      <c r="WW166"/>
      <c r="WX166"/>
      <c r="WY166"/>
      <c r="WZ166"/>
      <c r="XA166"/>
      <c r="XB166"/>
      <c r="XC166"/>
      <c r="XD166"/>
      <c r="XE166"/>
      <c r="XF166"/>
      <c r="XG166"/>
      <c r="XH166"/>
      <c r="XI166"/>
      <c r="XJ166"/>
      <c r="XK166"/>
      <c r="XL166"/>
      <c r="XM166"/>
      <c r="XN166"/>
      <c r="XO166"/>
      <c r="XP166"/>
      <c r="XQ166"/>
      <c r="XR166"/>
      <c r="XS166"/>
      <c r="XT166"/>
      <c r="XU166"/>
      <c r="XV166"/>
      <c r="XW166"/>
      <c r="XX166"/>
      <c r="XY166"/>
      <c r="XZ166"/>
      <c r="YA166"/>
      <c r="YB166"/>
      <c r="YC166"/>
      <c r="YD166"/>
      <c r="YE166"/>
      <c r="YF166"/>
      <c r="YG166"/>
      <c r="YH166"/>
      <c r="YI166"/>
      <c r="YJ166"/>
      <c r="YK166"/>
      <c r="YL166"/>
      <c r="YM166"/>
      <c r="YN166"/>
      <c r="YO166"/>
      <c r="YP166"/>
      <c r="YQ166"/>
      <c r="YR166"/>
      <c r="YS166"/>
      <c r="YT166"/>
      <c r="YU166"/>
      <c r="YV166"/>
      <c r="YW166"/>
      <c r="YX166"/>
      <c r="YY166"/>
      <c r="YZ166"/>
      <c r="ZA166"/>
      <c r="ZB166"/>
      <c r="ZC166"/>
      <c r="ZD166"/>
      <c r="ZE166"/>
      <c r="ZF166"/>
      <c r="ZG166"/>
      <c r="ZH166"/>
      <c r="ZI166"/>
      <c r="ZJ166"/>
      <c r="ZK166"/>
      <c r="ZL166"/>
      <c r="ZM166"/>
      <c r="ZN166"/>
      <c r="ZO166"/>
      <c r="ZP166"/>
      <c r="ZQ166"/>
      <c r="ZR166"/>
      <c r="ZS166"/>
      <c r="ZT166"/>
      <c r="ZU166"/>
      <c r="ZV166"/>
      <c r="ZW166"/>
      <c r="ZX166"/>
      <c r="ZY166"/>
      <c r="ZZ166"/>
      <c r="AAA166"/>
      <c r="AAB166"/>
      <c r="AAC166"/>
      <c r="AAD166"/>
      <c r="AAE166"/>
      <c r="AAF166"/>
      <c r="AAG166"/>
      <c r="AAH166"/>
      <c r="AAI166"/>
      <c r="AAJ166"/>
      <c r="AAK166"/>
      <c r="AAL166"/>
      <c r="AAM166"/>
      <c r="AAN166"/>
      <c r="AAO166"/>
      <c r="AAP166"/>
      <c r="AAQ166"/>
      <c r="AAR166"/>
      <c r="AAS166"/>
      <c r="AAT166"/>
      <c r="AAU166"/>
      <c r="AAV166"/>
      <c r="AAW166"/>
      <c r="AAX166"/>
      <c r="AAY166"/>
      <c r="AAZ166"/>
      <c r="ABA166"/>
      <c r="ABB166"/>
      <c r="ABC166"/>
      <c r="ABD166"/>
      <c r="ABE166"/>
      <c r="ABF166"/>
      <c r="ABG166"/>
      <c r="ABH166"/>
      <c r="ABI166"/>
      <c r="ABJ166"/>
      <c r="ABK166"/>
      <c r="ABL166"/>
      <c r="ABM166"/>
      <c r="ABN166"/>
      <c r="ABO166"/>
      <c r="ABP166"/>
      <c r="ABQ166"/>
      <c r="ABR166"/>
      <c r="ABS166"/>
      <c r="ABT166"/>
      <c r="ABU166"/>
      <c r="ABV166"/>
      <c r="ABW166"/>
      <c r="ABX166"/>
      <c r="ABY166"/>
      <c r="ABZ166"/>
      <c r="ACA166"/>
      <c r="ACB166"/>
      <c r="ACC166"/>
      <c r="ACD166"/>
      <c r="ACE166"/>
      <c r="ACF166"/>
      <c r="ACG166"/>
      <c r="ACH166"/>
      <c r="ACI166"/>
      <c r="ACJ166"/>
      <c r="ACK166"/>
      <c r="ACL166"/>
      <c r="ACM166"/>
      <c r="ACN166"/>
      <c r="ACO166"/>
      <c r="ACP166"/>
      <c r="ACQ166"/>
      <c r="ACR166"/>
      <c r="ACS166"/>
      <c r="ACT166"/>
      <c r="ACU166"/>
      <c r="ACV166"/>
      <c r="ACW166"/>
      <c r="ACX166"/>
      <c r="ACY166"/>
      <c r="ACZ166"/>
      <c r="ADA166"/>
      <c r="ADB166"/>
      <c r="ADC166"/>
      <c r="ADD166"/>
      <c r="ADE166"/>
      <c r="ADF166"/>
      <c r="ADG166"/>
      <c r="ADH166"/>
      <c r="ADI166"/>
      <c r="ADJ166"/>
      <c r="ADK166"/>
      <c r="ADL166"/>
      <c r="ADM166"/>
      <c r="ADN166"/>
      <c r="ADO166"/>
      <c r="ADP166"/>
      <c r="ADQ166"/>
      <c r="ADR166"/>
      <c r="ADS166"/>
      <c r="ADT166"/>
      <c r="ADU166"/>
      <c r="ADV166"/>
      <c r="ADW166"/>
      <c r="ADX166"/>
      <c r="ADY166"/>
      <c r="ADZ166"/>
      <c r="AEA166"/>
      <c r="AEB166"/>
      <c r="AEC166"/>
      <c r="AED166"/>
      <c r="AEE166"/>
      <c r="AEF166"/>
      <c r="AEG166"/>
      <c r="AEH166"/>
      <c r="AEI166"/>
      <c r="AEJ166"/>
      <c r="AEK166"/>
      <c r="AEL166"/>
      <c r="AEM166"/>
      <c r="AEN166"/>
      <c r="AEO166"/>
      <c r="AEP166"/>
      <c r="AEQ166"/>
      <c r="AER166"/>
      <c r="AES166"/>
      <c r="AET166"/>
      <c r="AEU166"/>
      <c r="AEV166"/>
      <c r="AEW166"/>
      <c r="AEX166"/>
      <c r="AEY166"/>
      <c r="AEZ166"/>
      <c r="AFA166"/>
      <c r="AFB166"/>
      <c r="AFC166"/>
      <c r="AFD166"/>
      <c r="AFE166"/>
      <c r="AFF166"/>
      <c r="AFG166"/>
      <c r="AFH166"/>
      <c r="AFI166"/>
      <c r="AFJ166"/>
      <c r="AFK166"/>
      <c r="AFL166"/>
      <c r="AFM166"/>
      <c r="AFN166"/>
      <c r="AFO166"/>
      <c r="AFP166"/>
      <c r="AFQ166"/>
      <c r="AFR166"/>
      <c r="AFS166"/>
      <c r="AFT166"/>
      <c r="AFU166"/>
      <c r="AFV166"/>
      <c r="AFW166"/>
      <c r="AFX166"/>
      <c r="AFY166"/>
      <c r="AFZ166"/>
      <c r="AGA166"/>
      <c r="AGB166"/>
      <c r="AGC166"/>
      <c r="AGD166"/>
      <c r="AGE166"/>
      <c r="AGF166"/>
      <c r="AGG166"/>
      <c r="AGH166"/>
      <c r="AGI166"/>
      <c r="AGJ166"/>
      <c r="AGK166"/>
      <c r="AGL166"/>
      <c r="AGM166"/>
      <c r="AGN166"/>
      <c r="AGO166"/>
      <c r="AGP166"/>
      <c r="AGQ166"/>
      <c r="AGR166"/>
      <c r="AGS166"/>
      <c r="AGT166"/>
      <c r="AGU166"/>
      <c r="AGV166"/>
      <c r="AGW166"/>
      <c r="AGX166"/>
      <c r="AGY166"/>
      <c r="AGZ166"/>
      <c r="AHA166"/>
      <c r="AHB166"/>
      <c r="AHC166"/>
      <c r="AHD166"/>
      <c r="AHE166"/>
      <c r="AHF166"/>
      <c r="AHG166"/>
      <c r="AHH166"/>
      <c r="AHI166"/>
      <c r="AHJ166"/>
      <c r="AHK166"/>
      <c r="AHL166"/>
      <c r="AHM166"/>
      <c r="AHN166"/>
      <c r="AHO166"/>
      <c r="AHP166"/>
      <c r="AHQ166"/>
      <c r="AHR166"/>
      <c r="AHS166"/>
      <c r="AHT166"/>
      <c r="AHU166"/>
      <c r="AHV166"/>
      <c r="AHW166"/>
      <c r="AHX166"/>
      <c r="AHY166"/>
      <c r="AHZ166"/>
      <c r="AIA166"/>
      <c r="AIB166"/>
      <c r="AIC166"/>
      <c r="AID166"/>
      <c r="AIE166"/>
      <c r="AIF166"/>
      <c r="AIG166"/>
      <c r="AIH166"/>
      <c r="AII166"/>
      <c r="AIJ166"/>
      <c r="AIK166"/>
      <c r="AIL166"/>
      <c r="AIM166"/>
      <c r="AIN166"/>
      <c r="AIO166"/>
      <c r="AIP166"/>
      <c r="AIQ166"/>
      <c r="AIR166"/>
      <c r="AIS166"/>
      <c r="AIT166"/>
      <c r="AIU166"/>
      <c r="AIV166"/>
      <c r="AIW166"/>
      <c r="AIX166"/>
      <c r="AIY166"/>
      <c r="AIZ166"/>
      <c r="AJA166"/>
      <c r="AJB166"/>
      <c r="AJC166"/>
      <c r="AJD166"/>
      <c r="AJE166"/>
      <c r="AJF166"/>
      <c r="AJG166"/>
      <c r="AJH166"/>
      <c r="AJI166"/>
      <c r="AJJ166"/>
      <c r="AJK166"/>
      <c r="AJL166"/>
      <c r="AJM166"/>
      <c r="AJN166"/>
      <c r="AJO166"/>
      <c r="AJP166"/>
      <c r="AJQ166"/>
      <c r="AJR166"/>
      <c r="AJS166"/>
      <c r="AJT166"/>
      <c r="AJU166"/>
      <c r="AJV166"/>
      <c r="AJW166"/>
      <c r="AJX166"/>
      <c r="AJY166"/>
      <c r="AJZ166"/>
      <c r="AKA166"/>
      <c r="AKB166"/>
      <c r="AKC166"/>
      <c r="AKD166"/>
      <c r="AKE166"/>
      <c r="AKF166"/>
      <c r="AKG166"/>
      <c r="AKH166"/>
      <c r="AKI166"/>
      <c r="AKJ166"/>
      <c r="AKK166"/>
      <c r="AKL166"/>
      <c r="AKM166"/>
      <c r="AKN166"/>
      <c r="AKO166"/>
      <c r="AKP166"/>
      <c r="AKQ166"/>
      <c r="AKR166"/>
      <c r="AKS166"/>
      <c r="AKT166"/>
      <c r="AKU166"/>
      <c r="AKV166"/>
      <c r="AKW166"/>
      <c r="AKX166"/>
      <c r="AKY166"/>
      <c r="AKZ166"/>
      <c r="ALA166"/>
      <c r="ALB166"/>
      <c r="ALC166"/>
      <c r="ALD166"/>
      <c r="ALE166"/>
      <c r="ALF166"/>
      <c r="ALG166"/>
      <c r="ALH166"/>
      <c r="ALI166"/>
      <c r="ALJ166"/>
      <c r="ALK166"/>
      <c r="ALL166"/>
      <c r="ALM166"/>
      <c r="ALN166"/>
      <c r="ALO166"/>
      <c r="ALP166"/>
      <c r="ALQ166"/>
      <c r="ALR166"/>
      <c r="ALS166"/>
      <c r="ALT166"/>
      <c r="ALU166"/>
      <c r="ALV166"/>
      <c r="ALW166"/>
      <c r="ALX166"/>
      <c r="ALY166"/>
      <c r="ALZ166"/>
      <c r="AMA166"/>
      <c r="AMB166"/>
      <c r="AMC166"/>
      <c r="AMD166"/>
      <c r="AME166"/>
      <c r="AMF166"/>
      <c r="AMG166"/>
      <c r="AMH166"/>
      <c r="AMI166"/>
      <c r="AMJ166"/>
      <c r="AMK166"/>
      <c r="AML166"/>
      <c r="AMM166"/>
      <c r="AMN166"/>
      <c r="AMO166"/>
      <c r="AMP166"/>
      <c r="AMQ166"/>
      <c r="AMR166"/>
      <c r="AMS166"/>
      <c r="AMT166"/>
      <c r="AMU166"/>
      <c r="AMV166"/>
      <c r="AMW166"/>
      <c r="AMX166"/>
      <c r="AMY166"/>
      <c r="AMZ166"/>
      <c r="ANA166"/>
      <c r="ANB166"/>
      <c r="ANC166"/>
      <c r="AND166"/>
      <c r="ANE166"/>
      <c r="ANF166"/>
      <c r="ANG166"/>
      <c r="ANH166"/>
      <c r="ANI166"/>
      <c r="ANJ166"/>
      <c r="ANK166"/>
      <c r="ANL166"/>
      <c r="ANM166"/>
      <c r="ANN166"/>
      <c r="ANO166"/>
      <c r="ANP166"/>
      <c r="ANQ166"/>
      <c r="ANR166"/>
      <c r="ANS166"/>
      <c r="ANT166"/>
      <c r="ANU166"/>
      <c r="ANV166"/>
      <c r="ANW166"/>
      <c r="ANX166"/>
      <c r="ANY166"/>
      <c r="ANZ166"/>
      <c r="AOA166"/>
      <c r="AOB166"/>
      <c r="AOC166"/>
      <c r="AOD166"/>
      <c r="AOE166"/>
      <c r="AOF166"/>
      <c r="AOG166"/>
      <c r="AOH166"/>
      <c r="AOI166"/>
      <c r="AOJ166"/>
      <c r="AOK166"/>
      <c r="AOL166"/>
      <c r="AOM166"/>
      <c r="AON166"/>
      <c r="AOO166"/>
      <c r="AOP166"/>
      <c r="AOQ166"/>
      <c r="AOR166"/>
      <c r="AOS166"/>
      <c r="AOT166"/>
      <c r="AOU166"/>
      <c r="AOV166"/>
      <c r="AOW166"/>
      <c r="AOX166"/>
      <c r="AOY166"/>
      <c r="AOZ166"/>
      <c r="APA166"/>
      <c r="APB166"/>
      <c r="APC166"/>
      <c r="APD166"/>
      <c r="APE166"/>
      <c r="APF166"/>
      <c r="APG166"/>
      <c r="APH166"/>
      <c r="API166"/>
      <c r="APJ166"/>
      <c r="APK166"/>
      <c r="APL166"/>
      <c r="APM166"/>
      <c r="APN166"/>
      <c r="APO166"/>
      <c r="APP166"/>
      <c r="APQ166"/>
      <c r="APR166"/>
      <c r="APS166"/>
      <c r="APT166"/>
      <c r="APU166"/>
      <c r="APV166"/>
      <c r="APW166"/>
      <c r="APX166"/>
      <c r="APY166"/>
      <c r="APZ166"/>
      <c r="AQA166"/>
      <c r="AQB166"/>
      <c r="AQC166"/>
      <c r="AQD166"/>
      <c r="AQE166"/>
      <c r="AQF166"/>
      <c r="AQG166"/>
      <c r="AQH166"/>
      <c r="AQI166"/>
      <c r="AQJ166"/>
      <c r="AQK166"/>
      <c r="AQL166"/>
      <c r="AQM166"/>
      <c r="AQN166"/>
      <c r="AQO166"/>
      <c r="AQP166"/>
      <c r="AQQ166"/>
      <c r="AQR166"/>
      <c r="AQS166"/>
      <c r="AQT166"/>
      <c r="AQU166"/>
      <c r="AQV166"/>
      <c r="AQW166"/>
      <c r="AQX166"/>
      <c r="AQY166"/>
      <c r="AQZ166"/>
      <c r="ARA166"/>
      <c r="ARB166"/>
      <c r="ARC166"/>
      <c r="ARD166"/>
      <c r="ARE166"/>
      <c r="ARF166"/>
      <c r="ARG166"/>
      <c r="ARH166"/>
      <c r="ARI166"/>
      <c r="ARJ166"/>
      <c r="ARK166"/>
      <c r="ARL166"/>
      <c r="ARM166"/>
      <c r="ARN166"/>
      <c r="ARO166"/>
      <c r="ARP166"/>
      <c r="ARQ166"/>
      <c r="ARR166"/>
      <c r="ARS166"/>
      <c r="ART166"/>
      <c r="ARU166"/>
      <c r="ARV166"/>
      <c r="ARW166"/>
      <c r="ARX166"/>
      <c r="ARY166"/>
      <c r="ARZ166"/>
      <c r="ASA166"/>
      <c r="ASB166"/>
      <c r="ASC166"/>
      <c r="ASD166"/>
      <c r="ASE166"/>
      <c r="ASF166"/>
      <c r="ASG166"/>
      <c r="ASH166"/>
      <c r="ASI166"/>
      <c r="ASJ166"/>
      <c r="ASK166"/>
      <c r="ASL166"/>
      <c r="ASM166"/>
      <c r="ASN166"/>
      <c r="ASO166"/>
      <c r="ASP166"/>
      <c r="ASQ166"/>
      <c r="ASR166"/>
      <c r="ASS166"/>
      <c r="AST166"/>
      <c r="ASU166"/>
      <c r="ASV166"/>
      <c r="ASW166"/>
      <c r="ASX166"/>
      <c r="ASY166"/>
      <c r="ASZ166"/>
      <c r="ATA166"/>
      <c r="ATB166"/>
      <c r="ATC166"/>
      <c r="ATD166"/>
      <c r="ATE166"/>
      <c r="ATF166"/>
      <c r="ATG166"/>
      <c r="ATH166"/>
      <c r="ATI166"/>
      <c r="ATJ166"/>
      <c r="ATK166"/>
      <c r="ATL166"/>
      <c r="ATM166"/>
      <c r="ATN166"/>
      <c r="ATO166"/>
      <c r="ATP166"/>
      <c r="ATQ166"/>
      <c r="ATR166"/>
      <c r="ATS166"/>
      <c r="ATT166"/>
      <c r="ATU166"/>
      <c r="ATV166"/>
      <c r="ATW166"/>
      <c r="ATX166"/>
      <c r="ATY166"/>
      <c r="ATZ166"/>
      <c r="AUA166"/>
      <c r="AUB166"/>
      <c r="AUC166"/>
      <c r="AUD166"/>
      <c r="AUE166"/>
      <c r="AUF166"/>
      <c r="AUG166"/>
      <c r="AUH166"/>
      <c r="AUI166"/>
      <c r="AUJ166"/>
      <c r="AUK166"/>
      <c r="AUL166"/>
      <c r="AUM166"/>
      <c r="AUN166"/>
      <c r="AUO166"/>
      <c r="AUP166"/>
      <c r="AUQ166"/>
      <c r="AUR166"/>
      <c r="AUS166"/>
      <c r="AUT166"/>
      <c r="AUU166"/>
      <c r="AUV166"/>
      <c r="AUW166"/>
      <c r="AUX166"/>
      <c r="AUY166"/>
      <c r="AUZ166"/>
      <c r="AVA166"/>
      <c r="AVB166"/>
      <c r="AVC166"/>
      <c r="AVD166"/>
      <c r="AVE166"/>
      <c r="AVF166"/>
      <c r="AVG166"/>
      <c r="AVH166"/>
      <c r="AVI166"/>
      <c r="AVJ166"/>
      <c r="AVK166"/>
      <c r="AVL166"/>
      <c r="AVM166"/>
      <c r="AVN166"/>
      <c r="AVO166"/>
      <c r="AVP166"/>
      <c r="AVQ166"/>
      <c r="AVR166"/>
      <c r="AVS166"/>
      <c r="AVT166"/>
      <c r="AVU166"/>
      <c r="AVV166"/>
      <c r="AVW166"/>
      <c r="AVX166"/>
      <c r="AVY166"/>
      <c r="AVZ166"/>
      <c r="AWA166"/>
      <c r="AWB166"/>
      <c r="AWC166"/>
      <c r="AWD166"/>
      <c r="AWE166"/>
      <c r="AWF166"/>
      <c r="AWG166"/>
      <c r="AWH166"/>
      <c r="AWI166"/>
      <c r="AWJ166"/>
      <c r="AWK166"/>
      <c r="AWL166"/>
      <c r="AWM166"/>
      <c r="AWN166"/>
      <c r="AWO166"/>
      <c r="AWP166"/>
      <c r="AWQ166"/>
      <c r="AWR166"/>
      <c r="AWS166"/>
      <c r="AWT166"/>
      <c r="AWU166"/>
      <c r="AWV166"/>
      <c r="AWW166"/>
      <c r="AWX166"/>
      <c r="AWY166"/>
      <c r="AWZ166"/>
      <c r="AXA166"/>
      <c r="AXB166"/>
      <c r="AXC166"/>
      <c r="AXD166"/>
      <c r="AXE166"/>
      <c r="AXF166"/>
      <c r="AXG166"/>
      <c r="AXH166"/>
      <c r="AXI166"/>
      <c r="AXJ166"/>
      <c r="AXK166"/>
      <c r="AXL166"/>
      <c r="AXM166"/>
      <c r="AXN166"/>
      <c r="AXO166"/>
      <c r="AXP166"/>
      <c r="AXQ166"/>
      <c r="AXR166"/>
      <c r="AXS166"/>
      <c r="AXT166"/>
      <c r="AXU166"/>
      <c r="AXV166"/>
      <c r="AXW166"/>
      <c r="AXX166"/>
      <c r="AXY166"/>
      <c r="AXZ166"/>
      <c r="AYA166"/>
      <c r="AYB166"/>
      <c r="AYC166"/>
      <c r="AYD166"/>
      <c r="AYE166"/>
      <c r="AYF166"/>
      <c r="AYG166"/>
      <c r="AYH166"/>
      <c r="AYI166"/>
      <c r="AYJ166"/>
      <c r="AYK166"/>
      <c r="AYL166"/>
      <c r="AYM166"/>
      <c r="AYN166"/>
      <c r="AYO166"/>
      <c r="AYP166"/>
      <c r="AYQ166"/>
      <c r="AYR166"/>
      <c r="AYS166"/>
      <c r="AYT166"/>
      <c r="AYU166"/>
      <c r="AYV166"/>
      <c r="AYW166"/>
      <c r="AYX166"/>
      <c r="AYY166"/>
      <c r="AYZ166"/>
      <c r="AZA166"/>
      <c r="AZB166"/>
      <c r="AZC166"/>
      <c r="AZD166"/>
      <c r="AZE166"/>
      <c r="AZF166"/>
      <c r="AZG166"/>
      <c r="AZH166"/>
      <c r="AZI166"/>
      <c r="AZJ166"/>
      <c r="AZK166"/>
      <c r="AZL166"/>
      <c r="AZM166"/>
      <c r="AZN166"/>
      <c r="AZO166"/>
      <c r="AZP166"/>
      <c r="AZQ166"/>
      <c r="AZR166"/>
      <c r="AZS166"/>
      <c r="AZT166"/>
      <c r="AZU166"/>
      <c r="AZV166"/>
      <c r="AZW166"/>
      <c r="AZX166"/>
      <c r="AZY166"/>
      <c r="AZZ166"/>
      <c r="BAA166"/>
      <c r="BAB166"/>
      <c r="BAC166"/>
      <c r="BAD166"/>
      <c r="BAE166"/>
      <c r="BAF166"/>
      <c r="BAG166"/>
      <c r="BAH166"/>
      <c r="BAI166"/>
      <c r="BAJ166"/>
      <c r="BAK166"/>
      <c r="BAL166"/>
      <c r="BAM166"/>
      <c r="BAN166"/>
      <c r="BAO166"/>
      <c r="BAP166"/>
      <c r="BAQ166"/>
      <c r="BAR166"/>
      <c r="BAS166"/>
      <c r="BAT166"/>
      <c r="BAU166"/>
      <c r="BAV166"/>
      <c r="BAW166"/>
      <c r="BAX166"/>
      <c r="BAY166"/>
      <c r="BAZ166"/>
      <c r="BBA166"/>
      <c r="BBB166"/>
      <c r="BBC166"/>
      <c r="BBD166"/>
      <c r="BBE166"/>
      <c r="BBF166"/>
      <c r="BBG166"/>
      <c r="BBH166"/>
      <c r="BBI166"/>
      <c r="BBJ166"/>
      <c r="BBK166"/>
      <c r="BBL166"/>
      <c r="BBM166"/>
      <c r="BBN166"/>
      <c r="BBO166"/>
      <c r="BBP166"/>
      <c r="BBQ166"/>
      <c r="BBR166"/>
      <c r="BBS166"/>
      <c r="BBT166"/>
      <c r="BBU166"/>
      <c r="BBV166"/>
      <c r="BBW166"/>
      <c r="BBX166"/>
      <c r="BBY166"/>
      <c r="BBZ166"/>
      <c r="BCA166"/>
      <c r="BCB166"/>
      <c r="BCC166"/>
      <c r="BCD166"/>
      <c r="BCE166"/>
      <c r="BCF166"/>
      <c r="BCG166"/>
      <c r="BCH166"/>
      <c r="BCI166"/>
      <c r="BCJ166"/>
      <c r="BCK166"/>
      <c r="BCL166"/>
      <c r="BCM166"/>
      <c r="BCN166"/>
      <c r="BCO166"/>
      <c r="BCP166"/>
      <c r="BCQ166"/>
      <c r="BCR166"/>
      <c r="BCS166"/>
      <c r="BCT166"/>
      <c r="BCU166"/>
      <c r="BCV166"/>
      <c r="BCW166"/>
      <c r="BCX166"/>
      <c r="BCY166"/>
      <c r="BCZ166"/>
      <c r="BDA166"/>
      <c r="BDB166"/>
      <c r="BDC166"/>
      <c r="BDD166"/>
      <c r="BDE166"/>
      <c r="BDF166"/>
      <c r="BDG166"/>
      <c r="BDH166"/>
      <c r="BDI166"/>
      <c r="BDJ166"/>
      <c r="BDK166"/>
      <c r="BDL166"/>
      <c r="BDM166"/>
      <c r="BDN166"/>
      <c r="BDO166"/>
      <c r="BDP166"/>
      <c r="BDQ166"/>
      <c r="BDR166"/>
      <c r="BDS166"/>
      <c r="BDT166"/>
      <c r="BDU166"/>
      <c r="BDV166"/>
      <c r="BDW166"/>
      <c r="BDX166"/>
      <c r="BDY166"/>
      <c r="BDZ166"/>
      <c r="BEA166"/>
      <c r="BEB166"/>
      <c r="BEC166"/>
      <c r="BED166"/>
      <c r="BEE166"/>
      <c r="BEF166"/>
      <c r="BEG166"/>
      <c r="BEH166"/>
      <c r="BEI166"/>
      <c r="BEJ166"/>
      <c r="BEK166"/>
      <c r="BEL166"/>
      <c r="BEM166"/>
      <c r="BEN166"/>
      <c r="BEO166"/>
      <c r="BEP166"/>
      <c r="BEQ166"/>
      <c r="BER166"/>
      <c r="BES166"/>
      <c r="BET166"/>
      <c r="BEU166"/>
      <c r="BEV166"/>
      <c r="BEW166"/>
      <c r="BEX166"/>
      <c r="BEY166"/>
      <c r="BEZ166"/>
      <c r="BFA166"/>
      <c r="BFB166"/>
      <c r="BFC166"/>
      <c r="BFD166"/>
      <c r="BFE166"/>
      <c r="BFF166"/>
      <c r="BFG166"/>
      <c r="BFH166"/>
      <c r="BFI166"/>
      <c r="BFJ166"/>
      <c r="BFK166"/>
      <c r="BFL166"/>
      <c r="BFM166"/>
      <c r="BFN166"/>
      <c r="BFO166"/>
      <c r="BFP166"/>
      <c r="BFQ166"/>
      <c r="BFR166"/>
      <c r="BFS166"/>
      <c r="BFT166"/>
      <c r="BFU166"/>
      <c r="BFV166"/>
      <c r="BFW166"/>
      <c r="BFX166"/>
      <c r="BFY166"/>
      <c r="BFZ166"/>
      <c r="BGA166"/>
      <c r="BGB166"/>
      <c r="BGC166"/>
      <c r="BGD166"/>
      <c r="BGE166"/>
      <c r="BGF166"/>
      <c r="BGG166"/>
      <c r="BGH166"/>
      <c r="BGI166"/>
      <c r="BGJ166"/>
      <c r="BGK166"/>
      <c r="BGL166"/>
      <c r="BGM166"/>
      <c r="BGN166"/>
      <c r="BGO166"/>
      <c r="BGP166"/>
      <c r="BGQ166"/>
      <c r="BGR166"/>
      <c r="BGS166"/>
      <c r="BGT166"/>
      <c r="BGU166"/>
      <c r="BGV166"/>
      <c r="BGW166"/>
      <c r="BGX166"/>
      <c r="BGY166"/>
      <c r="BGZ166"/>
      <c r="BHA166"/>
      <c r="BHB166"/>
      <c r="BHC166"/>
      <c r="BHD166"/>
      <c r="BHE166"/>
      <c r="BHF166"/>
      <c r="BHG166"/>
      <c r="BHH166"/>
      <c r="BHI166"/>
      <c r="BHJ166"/>
      <c r="BHK166"/>
      <c r="BHL166"/>
      <c r="BHM166"/>
      <c r="BHN166"/>
      <c r="BHO166"/>
      <c r="BHP166"/>
      <c r="BHQ166"/>
      <c r="BHR166"/>
      <c r="BHS166"/>
      <c r="BHT166"/>
      <c r="BHU166"/>
      <c r="BHV166"/>
      <c r="BHW166"/>
      <c r="BHX166"/>
      <c r="BHY166"/>
      <c r="BHZ166"/>
      <c r="BIA166"/>
      <c r="BIB166"/>
      <c r="BIC166"/>
      <c r="BID166"/>
      <c r="BIE166"/>
      <c r="BIF166"/>
      <c r="BIG166"/>
      <c r="BIH166"/>
      <c r="BII166"/>
      <c r="BIJ166"/>
      <c r="BIK166"/>
      <c r="BIL166"/>
      <c r="BIM166"/>
      <c r="BIN166"/>
      <c r="BIO166"/>
      <c r="BIP166"/>
      <c r="BIQ166"/>
      <c r="BIR166"/>
      <c r="BIS166"/>
      <c r="BIT166"/>
      <c r="BIU166"/>
      <c r="BIV166"/>
      <c r="BIW166"/>
      <c r="BIX166"/>
      <c r="BIY166"/>
      <c r="BIZ166"/>
      <c r="BJA166"/>
      <c r="BJB166"/>
      <c r="BJC166"/>
      <c r="BJD166"/>
      <c r="BJE166"/>
      <c r="BJF166"/>
      <c r="BJG166"/>
      <c r="BJH166"/>
      <c r="BJI166"/>
      <c r="BJJ166"/>
      <c r="BJK166"/>
      <c r="BJL166"/>
      <c r="BJM166"/>
      <c r="BJN166"/>
      <c r="BJO166"/>
      <c r="BJP166"/>
      <c r="BJQ166"/>
      <c r="BJR166"/>
      <c r="BJS166"/>
      <c r="BJT166"/>
      <c r="BJU166"/>
      <c r="BJV166"/>
      <c r="BJW166"/>
      <c r="BJX166"/>
      <c r="BJY166"/>
      <c r="BJZ166"/>
      <c r="BKA166"/>
      <c r="BKB166"/>
      <c r="BKC166"/>
      <c r="BKD166"/>
      <c r="BKE166"/>
      <c r="BKF166"/>
      <c r="BKG166"/>
      <c r="BKH166"/>
      <c r="BKI166"/>
      <c r="BKJ166"/>
      <c r="BKK166"/>
      <c r="BKL166"/>
      <c r="BKM166"/>
      <c r="BKN166"/>
      <c r="BKO166"/>
      <c r="BKP166"/>
      <c r="BKQ166"/>
      <c r="BKR166"/>
      <c r="BKS166"/>
      <c r="BKT166"/>
      <c r="BKU166"/>
      <c r="BKV166"/>
      <c r="BKW166"/>
      <c r="BKX166"/>
      <c r="BKY166"/>
      <c r="BKZ166"/>
      <c r="BLA166"/>
      <c r="BLB166"/>
      <c r="BLC166"/>
      <c r="BLD166"/>
      <c r="BLE166"/>
      <c r="BLF166"/>
      <c r="BLG166"/>
      <c r="BLH166"/>
      <c r="BLI166"/>
      <c r="BLJ166"/>
      <c r="BLK166"/>
      <c r="BLL166"/>
      <c r="BLM166"/>
      <c r="BLN166"/>
      <c r="BLO166"/>
      <c r="BLP166"/>
      <c r="BLQ166"/>
      <c r="BLR166"/>
      <c r="BLS166"/>
      <c r="BLT166"/>
      <c r="BLU166"/>
      <c r="BLV166"/>
      <c r="BLW166"/>
      <c r="BLX166"/>
      <c r="BLY166"/>
      <c r="BLZ166"/>
      <c r="BMA166"/>
      <c r="BMB166"/>
      <c r="BMC166"/>
      <c r="BMD166"/>
      <c r="BME166"/>
      <c r="BMF166"/>
      <c r="BMG166"/>
      <c r="BMH166"/>
      <c r="BMI166"/>
      <c r="BMJ166"/>
      <c r="BMK166"/>
      <c r="BML166"/>
      <c r="BMM166"/>
      <c r="BMN166"/>
      <c r="BMO166"/>
      <c r="BMP166"/>
      <c r="BMQ166"/>
      <c r="BMR166"/>
      <c r="BMS166"/>
      <c r="BMT166"/>
      <c r="BMU166"/>
      <c r="BMV166"/>
      <c r="BMW166"/>
      <c r="BMX166"/>
      <c r="BMY166"/>
      <c r="BMZ166"/>
      <c r="BNA166"/>
      <c r="BNB166"/>
      <c r="BNC166"/>
      <c r="BND166"/>
      <c r="BNE166"/>
      <c r="BNF166"/>
      <c r="BNG166"/>
      <c r="BNH166"/>
      <c r="BNI166"/>
      <c r="BNJ166"/>
      <c r="BNK166"/>
      <c r="BNL166"/>
      <c r="BNM166"/>
      <c r="BNN166"/>
      <c r="BNO166"/>
      <c r="BNP166"/>
      <c r="BNQ166"/>
      <c r="BNR166"/>
      <c r="BNS166"/>
      <c r="BNT166"/>
      <c r="BNU166"/>
      <c r="BNV166"/>
      <c r="BNW166"/>
      <c r="BNX166"/>
      <c r="BNY166"/>
      <c r="BNZ166"/>
      <c r="BOA166"/>
      <c r="BOB166"/>
      <c r="BOC166"/>
      <c r="BOD166"/>
      <c r="BOE166"/>
      <c r="BOF166"/>
      <c r="BOG166"/>
      <c r="BOH166"/>
      <c r="BOI166"/>
      <c r="BOJ166"/>
      <c r="BOK166"/>
      <c r="BOL166"/>
      <c r="BOM166"/>
      <c r="BON166"/>
      <c r="BOO166"/>
      <c r="BOP166"/>
      <c r="BOQ166"/>
      <c r="BOR166"/>
      <c r="BOS166"/>
      <c r="BOT166"/>
      <c r="BOU166"/>
      <c r="BOV166"/>
      <c r="BOW166"/>
      <c r="BOX166"/>
      <c r="BOY166"/>
      <c r="BOZ166"/>
      <c r="BPA166"/>
      <c r="BPB166"/>
      <c r="BPC166"/>
      <c r="BPD166"/>
      <c r="BPE166"/>
      <c r="BPF166"/>
      <c r="BPG166"/>
      <c r="BPH166"/>
      <c r="BPI166"/>
      <c r="BPJ166"/>
      <c r="BPK166"/>
      <c r="BPL166"/>
      <c r="BPM166"/>
      <c r="BPN166"/>
      <c r="BPO166"/>
      <c r="BPP166"/>
      <c r="BPQ166"/>
      <c r="BPR166"/>
      <c r="BPS166"/>
      <c r="BPT166"/>
      <c r="BPU166"/>
      <c r="BPV166"/>
      <c r="BPW166"/>
      <c r="BPX166"/>
      <c r="BPY166"/>
      <c r="BPZ166"/>
      <c r="BQA166"/>
      <c r="BQB166"/>
      <c r="BQC166"/>
      <c r="BQD166"/>
      <c r="BQE166"/>
      <c r="BQF166"/>
      <c r="BQG166"/>
      <c r="BQH166"/>
      <c r="BQI166"/>
      <c r="BQJ166"/>
      <c r="BQK166"/>
      <c r="BQL166"/>
      <c r="BQM166"/>
      <c r="BQN166"/>
      <c r="BQO166"/>
      <c r="BQP166"/>
      <c r="BQQ166"/>
      <c r="BQR166"/>
      <c r="BQS166"/>
      <c r="BQT166"/>
      <c r="BQU166"/>
      <c r="BQV166"/>
      <c r="BQW166"/>
      <c r="BQX166"/>
      <c r="BQY166"/>
      <c r="BQZ166"/>
      <c r="BRA166"/>
      <c r="BRB166"/>
      <c r="BRC166"/>
      <c r="BRD166"/>
      <c r="BRE166"/>
      <c r="BRF166"/>
      <c r="BRG166"/>
      <c r="BRH166"/>
      <c r="BRI166"/>
      <c r="BRJ166"/>
      <c r="BRK166"/>
      <c r="BRL166"/>
      <c r="BRM166"/>
      <c r="BRN166"/>
      <c r="BRO166"/>
      <c r="BRP166"/>
      <c r="BRQ166"/>
      <c r="BRR166"/>
      <c r="BRS166"/>
      <c r="BRT166"/>
      <c r="BRU166"/>
      <c r="BRV166"/>
      <c r="BRW166"/>
      <c r="BRX166"/>
      <c r="BRY166"/>
      <c r="BRZ166"/>
      <c r="BSA166"/>
      <c r="BSB166"/>
      <c r="BSC166"/>
      <c r="BSD166"/>
      <c r="BSE166"/>
      <c r="BSF166"/>
      <c r="BSG166"/>
      <c r="BSH166"/>
      <c r="BSI166"/>
      <c r="BSJ166"/>
      <c r="BSK166"/>
      <c r="BSL166"/>
      <c r="BSM166"/>
      <c r="BSN166"/>
      <c r="BSO166"/>
      <c r="BSP166"/>
      <c r="BSQ166"/>
      <c r="BSR166"/>
      <c r="BSS166"/>
      <c r="BST166"/>
      <c r="BSU166"/>
      <c r="BSV166"/>
      <c r="BSW166"/>
      <c r="BSX166"/>
      <c r="BSY166"/>
      <c r="BSZ166"/>
      <c r="BTA166"/>
      <c r="BTB166"/>
      <c r="BTC166"/>
      <c r="BTD166"/>
      <c r="BTE166"/>
      <c r="BTF166"/>
      <c r="BTG166"/>
      <c r="BTH166"/>
      <c r="BTI166"/>
      <c r="BTJ166"/>
      <c r="BTK166"/>
      <c r="BTL166"/>
      <c r="BTM166"/>
      <c r="BTN166"/>
      <c r="BTO166"/>
      <c r="BTP166"/>
      <c r="BTQ166"/>
      <c r="BTR166"/>
      <c r="BTS166"/>
      <c r="BTT166"/>
      <c r="BTU166"/>
      <c r="BTV166"/>
      <c r="BTW166"/>
      <c r="BTX166"/>
      <c r="BTY166"/>
      <c r="BTZ166"/>
      <c r="BUA166"/>
      <c r="BUB166"/>
      <c r="BUC166"/>
      <c r="BUD166"/>
      <c r="BUE166"/>
      <c r="BUF166"/>
      <c r="BUG166"/>
      <c r="BUH166"/>
      <c r="BUI166"/>
      <c r="BUJ166"/>
      <c r="BUK166"/>
      <c r="BUL166"/>
      <c r="BUM166"/>
      <c r="BUN166"/>
      <c r="BUO166"/>
      <c r="BUP166"/>
      <c r="BUQ166"/>
      <c r="BUR166"/>
      <c r="BUS166"/>
      <c r="BUT166"/>
      <c r="BUU166"/>
      <c r="BUV166"/>
      <c r="BUW166"/>
      <c r="BUX166"/>
      <c r="BUY166"/>
      <c r="BUZ166"/>
      <c r="BVA166"/>
      <c r="BVB166"/>
      <c r="BVC166"/>
      <c r="BVD166"/>
      <c r="BVE166"/>
      <c r="BVF166"/>
      <c r="BVG166"/>
      <c r="BVH166"/>
      <c r="BVI166"/>
      <c r="BVJ166"/>
      <c r="BVK166"/>
      <c r="BVL166"/>
      <c r="BVM166"/>
      <c r="BVN166"/>
      <c r="BVO166"/>
      <c r="BVP166"/>
      <c r="BVQ166"/>
      <c r="BVR166"/>
      <c r="BVS166"/>
      <c r="BVT166"/>
      <c r="BVU166"/>
      <c r="BVV166"/>
      <c r="BVW166"/>
      <c r="BVX166"/>
      <c r="BVY166"/>
      <c r="BVZ166"/>
      <c r="BWA166"/>
      <c r="BWB166"/>
      <c r="BWC166"/>
      <c r="BWD166"/>
      <c r="BWE166"/>
      <c r="BWF166"/>
      <c r="BWG166"/>
      <c r="BWH166"/>
      <c r="BWI166"/>
      <c r="BWJ166"/>
      <c r="BWK166"/>
      <c r="BWL166"/>
      <c r="BWM166"/>
      <c r="BWN166"/>
      <c r="BWO166"/>
      <c r="BWP166"/>
      <c r="BWQ166"/>
      <c r="BWR166"/>
      <c r="BWS166"/>
      <c r="BWT166"/>
      <c r="BWU166"/>
      <c r="BWV166"/>
      <c r="BWW166"/>
      <c r="BWX166"/>
      <c r="BWY166"/>
      <c r="BWZ166"/>
      <c r="BXA166"/>
      <c r="BXB166"/>
      <c r="BXC166"/>
      <c r="BXD166"/>
      <c r="BXE166"/>
      <c r="BXF166"/>
      <c r="BXG166"/>
      <c r="BXH166"/>
      <c r="BXI166"/>
      <c r="BXJ166"/>
      <c r="BXK166"/>
      <c r="BXL166"/>
      <c r="BXM166"/>
      <c r="BXN166"/>
      <c r="BXO166"/>
      <c r="BXP166"/>
      <c r="BXQ166"/>
      <c r="BXR166"/>
      <c r="BXS166"/>
      <c r="BXT166"/>
      <c r="BXU166"/>
      <c r="BXV166"/>
      <c r="BXW166"/>
      <c r="BXX166"/>
      <c r="BXY166"/>
      <c r="BXZ166"/>
      <c r="BYA166"/>
      <c r="BYB166"/>
      <c r="BYC166"/>
      <c r="BYD166"/>
      <c r="BYE166"/>
      <c r="BYF166"/>
      <c r="BYG166"/>
      <c r="BYH166"/>
      <c r="BYI166"/>
      <c r="BYJ166"/>
      <c r="BYK166"/>
      <c r="BYL166"/>
      <c r="BYM166"/>
      <c r="BYN166"/>
      <c r="BYO166"/>
      <c r="BYP166"/>
      <c r="BYQ166"/>
      <c r="BYR166"/>
      <c r="BYS166"/>
      <c r="BYT166"/>
      <c r="BYU166"/>
      <c r="BYV166"/>
      <c r="BYW166"/>
      <c r="BYX166"/>
      <c r="BYY166"/>
      <c r="BYZ166"/>
      <c r="BZA166"/>
      <c r="BZB166"/>
      <c r="BZC166"/>
      <c r="BZD166"/>
      <c r="BZE166"/>
      <c r="BZF166"/>
      <c r="BZG166"/>
      <c r="BZH166"/>
      <c r="BZI166"/>
      <c r="BZJ166"/>
      <c r="BZK166"/>
      <c r="BZL166"/>
      <c r="BZM166"/>
      <c r="BZN166"/>
      <c r="BZO166"/>
      <c r="BZP166"/>
      <c r="BZQ166"/>
      <c r="BZR166"/>
      <c r="BZS166"/>
      <c r="BZT166"/>
      <c r="BZU166"/>
      <c r="BZV166"/>
      <c r="BZW166"/>
      <c r="BZX166"/>
      <c r="BZY166"/>
      <c r="BZZ166"/>
      <c r="CAA166"/>
      <c r="CAB166"/>
      <c r="CAC166"/>
      <c r="CAD166"/>
      <c r="CAE166"/>
      <c r="CAF166"/>
      <c r="CAG166"/>
      <c r="CAH166"/>
      <c r="CAI166"/>
      <c r="CAJ166"/>
      <c r="CAK166"/>
      <c r="CAL166"/>
      <c r="CAM166"/>
      <c r="CAN166"/>
      <c r="CAO166"/>
      <c r="CAP166"/>
      <c r="CAQ166"/>
      <c r="CAR166"/>
      <c r="CAS166"/>
      <c r="CAT166"/>
      <c r="CAU166"/>
      <c r="CAV166"/>
      <c r="CAW166"/>
      <c r="CAX166"/>
      <c r="CAY166"/>
      <c r="CAZ166"/>
      <c r="CBA166"/>
      <c r="CBB166"/>
      <c r="CBC166"/>
      <c r="CBD166"/>
      <c r="CBE166"/>
      <c r="CBF166"/>
      <c r="CBG166"/>
      <c r="CBH166"/>
      <c r="CBI166"/>
      <c r="CBJ166"/>
      <c r="CBK166"/>
      <c r="CBL166"/>
      <c r="CBM166"/>
      <c r="CBN166"/>
      <c r="CBO166"/>
      <c r="CBP166"/>
      <c r="CBQ166"/>
      <c r="CBR166"/>
      <c r="CBS166"/>
      <c r="CBT166"/>
      <c r="CBU166"/>
      <c r="CBV166"/>
      <c r="CBW166"/>
      <c r="CBX166"/>
      <c r="CBY166"/>
      <c r="CBZ166"/>
      <c r="CCA166"/>
      <c r="CCB166"/>
      <c r="CCC166"/>
      <c r="CCD166"/>
      <c r="CCE166"/>
      <c r="CCF166"/>
      <c r="CCG166"/>
      <c r="CCH166"/>
      <c r="CCI166"/>
      <c r="CCJ166"/>
      <c r="CCK166"/>
      <c r="CCL166"/>
      <c r="CCM166"/>
      <c r="CCN166"/>
      <c r="CCO166"/>
      <c r="CCP166"/>
      <c r="CCQ166"/>
      <c r="CCR166"/>
      <c r="CCS166"/>
      <c r="CCT166"/>
      <c r="CCU166"/>
      <c r="CCV166"/>
      <c r="CCW166"/>
      <c r="CCX166"/>
      <c r="CCY166"/>
      <c r="CCZ166"/>
      <c r="CDA166"/>
      <c r="CDB166"/>
      <c r="CDC166"/>
      <c r="CDD166"/>
      <c r="CDE166"/>
      <c r="CDF166"/>
      <c r="CDG166"/>
      <c r="CDH166"/>
      <c r="CDI166"/>
      <c r="CDJ166"/>
      <c r="CDK166"/>
      <c r="CDL166"/>
      <c r="CDM166"/>
      <c r="CDN166"/>
      <c r="CDO166"/>
      <c r="CDP166"/>
      <c r="CDQ166"/>
      <c r="CDR166"/>
      <c r="CDS166"/>
      <c r="CDT166"/>
      <c r="CDU166"/>
      <c r="CDV166"/>
      <c r="CDW166"/>
      <c r="CDX166"/>
      <c r="CDY166"/>
      <c r="CDZ166"/>
      <c r="CEA166"/>
      <c r="CEB166"/>
      <c r="CEC166"/>
      <c r="CED166"/>
      <c r="CEE166"/>
      <c r="CEF166"/>
      <c r="CEG166"/>
      <c r="CEH166"/>
      <c r="CEI166"/>
      <c r="CEJ166"/>
      <c r="CEK166"/>
      <c r="CEL166"/>
      <c r="CEM166"/>
      <c r="CEN166"/>
      <c r="CEO166"/>
      <c r="CEP166"/>
      <c r="CEQ166"/>
      <c r="CER166"/>
      <c r="CES166"/>
      <c r="CET166"/>
      <c r="CEU166"/>
      <c r="CEV166"/>
      <c r="CEW166"/>
      <c r="CEX166"/>
      <c r="CEY166"/>
      <c r="CEZ166"/>
      <c r="CFA166"/>
      <c r="CFB166"/>
      <c r="CFC166"/>
      <c r="CFD166"/>
      <c r="CFE166"/>
      <c r="CFF166"/>
      <c r="CFG166"/>
      <c r="CFH166"/>
      <c r="CFI166"/>
      <c r="CFJ166"/>
      <c r="CFK166"/>
      <c r="CFL166"/>
      <c r="CFM166"/>
      <c r="CFN166"/>
      <c r="CFO166"/>
      <c r="CFP166"/>
      <c r="CFQ166"/>
      <c r="CFR166"/>
      <c r="CFS166"/>
      <c r="CFT166"/>
      <c r="CFU166"/>
      <c r="CFV166"/>
      <c r="CFW166"/>
      <c r="CFX166"/>
      <c r="CFY166"/>
      <c r="CFZ166"/>
      <c r="CGA166"/>
      <c r="CGB166"/>
      <c r="CGC166"/>
      <c r="CGD166"/>
      <c r="CGE166"/>
      <c r="CGF166"/>
      <c r="CGG166"/>
      <c r="CGH166"/>
      <c r="CGI166"/>
      <c r="CGJ166"/>
      <c r="CGK166"/>
      <c r="CGL166"/>
      <c r="CGM166"/>
      <c r="CGN166"/>
      <c r="CGO166"/>
      <c r="CGP166"/>
      <c r="CGQ166"/>
      <c r="CGR166"/>
      <c r="CGS166"/>
      <c r="CGT166"/>
      <c r="CGU166"/>
      <c r="CGV166"/>
      <c r="CGW166"/>
      <c r="CGX166"/>
      <c r="CGY166"/>
      <c r="CGZ166"/>
      <c r="CHA166"/>
      <c r="CHB166"/>
      <c r="CHC166"/>
      <c r="CHD166"/>
      <c r="CHE166"/>
      <c r="CHF166"/>
      <c r="CHG166"/>
      <c r="CHH166"/>
      <c r="CHI166"/>
      <c r="CHJ166"/>
      <c r="CHK166"/>
      <c r="CHL166"/>
      <c r="CHM166"/>
      <c r="CHN166"/>
      <c r="CHO166"/>
      <c r="CHP166"/>
      <c r="CHQ166"/>
      <c r="CHR166"/>
      <c r="CHS166"/>
      <c r="CHT166"/>
      <c r="CHU166"/>
      <c r="CHV166"/>
      <c r="CHW166"/>
      <c r="CHX166"/>
      <c r="CHY166"/>
      <c r="CHZ166"/>
      <c r="CIA166"/>
      <c r="CIB166"/>
      <c r="CIC166"/>
      <c r="CID166"/>
      <c r="CIE166"/>
      <c r="CIF166"/>
      <c r="CIG166"/>
      <c r="CIH166"/>
      <c r="CII166"/>
      <c r="CIJ166"/>
      <c r="CIK166"/>
      <c r="CIL166"/>
      <c r="CIM166"/>
      <c r="CIN166"/>
      <c r="CIO166"/>
      <c r="CIP166"/>
      <c r="CIQ166"/>
      <c r="CIR166"/>
      <c r="CIS166"/>
      <c r="CIT166"/>
      <c r="CIU166"/>
      <c r="CIV166"/>
      <c r="CIW166"/>
      <c r="CIX166"/>
      <c r="CIY166"/>
      <c r="CIZ166"/>
      <c r="CJA166"/>
      <c r="CJB166"/>
      <c r="CJC166"/>
      <c r="CJD166"/>
      <c r="CJE166"/>
      <c r="CJF166"/>
      <c r="CJG166"/>
      <c r="CJH166"/>
      <c r="CJI166"/>
      <c r="CJJ166"/>
      <c r="CJK166"/>
      <c r="CJL166"/>
      <c r="CJM166"/>
      <c r="CJN166"/>
      <c r="CJO166"/>
      <c r="CJP166"/>
      <c r="CJQ166"/>
      <c r="CJR166"/>
      <c r="CJS166"/>
      <c r="CJT166"/>
      <c r="CJU166"/>
      <c r="CJV166"/>
      <c r="CJW166"/>
      <c r="CJX166"/>
      <c r="CJY166"/>
      <c r="CJZ166"/>
      <c r="CKA166"/>
      <c r="CKB166"/>
      <c r="CKC166"/>
      <c r="CKD166"/>
      <c r="CKE166"/>
      <c r="CKF166"/>
      <c r="CKG166"/>
      <c r="CKH166"/>
      <c r="CKI166"/>
      <c r="CKJ166"/>
      <c r="CKK166"/>
      <c r="CKL166"/>
      <c r="CKM166"/>
      <c r="CKN166"/>
      <c r="CKO166"/>
      <c r="CKP166"/>
      <c r="CKQ166"/>
      <c r="CKR166"/>
      <c r="CKS166"/>
      <c r="CKT166"/>
      <c r="CKU166"/>
      <c r="CKV166"/>
      <c r="CKW166"/>
      <c r="CKX166"/>
      <c r="CKY166"/>
      <c r="CKZ166"/>
      <c r="CLA166"/>
      <c r="CLB166"/>
      <c r="CLC166"/>
      <c r="CLD166"/>
      <c r="CLE166"/>
      <c r="CLF166"/>
      <c r="CLG166"/>
      <c r="CLH166"/>
      <c r="CLI166"/>
      <c r="CLJ166"/>
      <c r="CLK166"/>
      <c r="CLL166"/>
      <c r="CLM166"/>
      <c r="CLN166"/>
      <c r="CLO166"/>
      <c r="CLP166"/>
      <c r="CLQ166"/>
      <c r="CLR166"/>
      <c r="CLS166"/>
      <c r="CLT166"/>
      <c r="CLU166"/>
      <c r="CLV166"/>
      <c r="CLW166"/>
      <c r="CLX166"/>
      <c r="CLY166"/>
      <c r="CLZ166"/>
      <c r="CMA166"/>
      <c r="CMB166"/>
      <c r="CMC166"/>
      <c r="CMD166"/>
      <c r="CME166"/>
      <c r="CMF166"/>
      <c r="CMG166"/>
      <c r="CMH166"/>
      <c r="CMI166"/>
      <c r="CMJ166"/>
      <c r="CMK166"/>
      <c r="CML166"/>
      <c r="CMM166"/>
      <c r="CMN166"/>
      <c r="CMO166"/>
      <c r="CMP166"/>
      <c r="CMQ166"/>
      <c r="CMR166"/>
      <c r="CMS166"/>
      <c r="CMT166"/>
      <c r="CMU166"/>
      <c r="CMV166"/>
      <c r="CMW166"/>
      <c r="CMX166"/>
      <c r="CMY166"/>
      <c r="CMZ166"/>
      <c r="CNA166"/>
      <c r="CNB166"/>
      <c r="CNC166"/>
      <c r="CND166"/>
      <c r="CNE166"/>
      <c r="CNF166"/>
      <c r="CNG166"/>
      <c r="CNH166"/>
      <c r="CNI166"/>
      <c r="CNJ166"/>
      <c r="CNK166"/>
      <c r="CNL166"/>
      <c r="CNM166"/>
      <c r="CNN166"/>
      <c r="CNO166"/>
      <c r="CNP166"/>
      <c r="CNQ166"/>
      <c r="CNR166"/>
      <c r="CNS166"/>
      <c r="CNT166"/>
      <c r="CNU166"/>
      <c r="CNV166"/>
      <c r="CNW166"/>
      <c r="CNX166"/>
      <c r="CNY166"/>
      <c r="CNZ166"/>
      <c r="COA166"/>
      <c r="COB166"/>
      <c r="COC166"/>
      <c r="COD166"/>
      <c r="COE166"/>
      <c r="COF166"/>
      <c r="COG166"/>
      <c r="COH166"/>
      <c r="COI166"/>
      <c r="COJ166"/>
      <c r="COK166"/>
      <c r="COL166"/>
      <c r="COM166"/>
      <c r="CON166"/>
      <c r="COO166"/>
      <c r="COP166"/>
      <c r="COQ166"/>
      <c r="COR166"/>
      <c r="COS166"/>
      <c r="COT166"/>
      <c r="COU166"/>
      <c r="COV166"/>
      <c r="COW166"/>
      <c r="COX166"/>
      <c r="COY166"/>
      <c r="COZ166"/>
      <c r="CPA166"/>
      <c r="CPB166"/>
      <c r="CPC166"/>
      <c r="CPD166"/>
      <c r="CPE166"/>
      <c r="CPF166"/>
      <c r="CPG166"/>
      <c r="CPH166"/>
      <c r="CPI166"/>
      <c r="CPJ166"/>
      <c r="CPK166"/>
      <c r="CPL166"/>
      <c r="CPM166"/>
      <c r="CPN166"/>
      <c r="CPO166"/>
      <c r="CPP166"/>
      <c r="CPQ166"/>
      <c r="CPR166"/>
      <c r="CPS166"/>
      <c r="CPT166"/>
      <c r="CPU166"/>
      <c r="CPV166"/>
      <c r="CPW166"/>
      <c r="CPX166"/>
      <c r="CPY166"/>
      <c r="CPZ166"/>
      <c r="CQA166"/>
      <c r="CQB166"/>
      <c r="CQC166"/>
      <c r="CQD166"/>
      <c r="CQE166"/>
      <c r="CQF166"/>
      <c r="CQG166"/>
      <c r="CQH166"/>
      <c r="CQI166"/>
      <c r="CQJ166"/>
      <c r="CQK166"/>
      <c r="CQL166"/>
      <c r="CQM166"/>
      <c r="CQN166"/>
      <c r="CQO166"/>
      <c r="CQP166"/>
      <c r="CQQ166"/>
      <c r="CQR166"/>
      <c r="CQS166"/>
      <c r="CQT166"/>
      <c r="CQU166"/>
      <c r="CQV166"/>
      <c r="CQW166"/>
      <c r="CQX166"/>
      <c r="CQY166"/>
      <c r="CQZ166"/>
      <c r="CRA166"/>
      <c r="CRB166"/>
      <c r="CRC166"/>
      <c r="CRD166"/>
      <c r="CRE166"/>
      <c r="CRF166"/>
      <c r="CRG166"/>
      <c r="CRH166"/>
      <c r="CRI166"/>
      <c r="CRJ166"/>
      <c r="CRK166"/>
      <c r="CRL166"/>
      <c r="CRM166"/>
      <c r="CRN166"/>
      <c r="CRO166"/>
      <c r="CRP166"/>
      <c r="CRQ166"/>
      <c r="CRR166"/>
      <c r="CRS166"/>
      <c r="CRT166"/>
      <c r="CRU166"/>
      <c r="CRV166"/>
      <c r="CRW166"/>
      <c r="CRX166"/>
      <c r="CRY166"/>
      <c r="CRZ166"/>
      <c r="CSA166"/>
      <c r="CSB166"/>
      <c r="CSC166"/>
      <c r="CSD166"/>
      <c r="CSE166"/>
      <c r="CSF166"/>
      <c r="CSG166"/>
      <c r="CSH166"/>
      <c r="CSI166"/>
      <c r="CSJ166"/>
      <c r="CSK166"/>
      <c r="CSL166"/>
      <c r="CSM166"/>
      <c r="CSN166"/>
      <c r="CSO166"/>
      <c r="CSP166"/>
      <c r="CSQ166"/>
      <c r="CSR166"/>
      <c r="CSS166"/>
      <c r="CST166"/>
      <c r="CSU166"/>
      <c r="CSV166"/>
      <c r="CSW166"/>
      <c r="CSX166"/>
      <c r="CSY166"/>
      <c r="CSZ166"/>
      <c r="CTA166"/>
      <c r="CTB166"/>
      <c r="CTC166"/>
      <c r="CTD166"/>
      <c r="CTE166"/>
      <c r="CTF166"/>
      <c r="CTG166"/>
      <c r="CTH166"/>
      <c r="CTI166"/>
      <c r="CTJ166"/>
      <c r="CTK166"/>
      <c r="CTL166"/>
      <c r="CTM166"/>
      <c r="CTN166"/>
      <c r="CTO166"/>
      <c r="CTP166"/>
      <c r="CTQ166"/>
      <c r="CTR166"/>
      <c r="CTS166"/>
      <c r="CTT166"/>
      <c r="CTU166"/>
      <c r="CTV166"/>
      <c r="CTW166"/>
      <c r="CTX166"/>
      <c r="CTY166"/>
      <c r="CTZ166"/>
      <c r="CUA166"/>
      <c r="CUB166"/>
      <c r="CUC166"/>
      <c r="CUD166"/>
      <c r="CUE166"/>
      <c r="CUF166"/>
      <c r="CUG166"/>
      <c r="CUH166"/>
      <c r="CUI166"/>
      <c r="CUJ166"/>
      <c r="CUK166"/>
      <c r="CUL166"/>
      <c r="CUM166"/>
      <c r="CUN166"/>
      <c r="CUO166"/>
      <c r="CUP166"/>
      <c r="CUQ166"/>
      <c r="CUR166"/>
      <c r="CUS166"/>
      <c r="CUT166"/>
      <c r="CUU166"/>
      <c r="CUV166"/>
      <c r="CUW166"/>
      <c r="CUX166"/>
      <c r="CUY166"/>
      <c r="CUZ166"/>
      <c r="CVA166"/>
      <c r="CVB166"/>
      <c r="CVC166"/>
      <c r="CVD166"/>
      <c r="CVE166"/>
      <c r="CVF166"/>
      <c r="CVG166"/>
      <c r="CVH166"/>
      <c r="CVI166"/>
      <c r="CVJ166"/>
      <c r="CVK166"/>
      <c r="CVL166"/>
      <c r="CVM166"/>
      <c r="CVN166"/>
      <c r="CVO166"/>
      <c r="CVP166"/>
      <c r="CVQ166"/>
      <c r="CVR166"/>
      <c r="CVS166"/>
      <c r="CVT166"/>
      <c r="CVU166"/>
      <c r="CVV166"/>
      <c r="CVW166"/>
      <c r="CVX166"/>
      <c r="CVY166"/>
      <c r="CVZ166"/>
      <c r="CWA166"/>
      <c r="CWB166"/>
      <c r="CWC166"/>
      <c r="CWD166"/>
      <c r="CWE166"/>
      <c r="CWF166"/>
      <c r="CWG166"/>
      <c r="CWH166"/>
      <c r="CWI166"/>
      <c r="CWJ166"/>
      <c r="CWK166"/>
      <c r="CWL166"/>
      <c r="CWM166"/>
      <c r="CWN166"/>
      <c r="CWO166"/>
      <c r="CWP166"/>
      <c r="CWQ166"/>
      <c r="CWR166"/>
      <c r="CWS166"/>
      <c r="CWT166"/>
      <c r="CWU166"/>
      <c r="CWV166"/>
      <c r="CWW166"/>
      <c r="CWX166"/>
      <c r="CWY166"/>
      <c r="CWZ166"/>
      <c r="CXA166"/>
      <c r="CXB166"/>
      <c r="CXC166"/>
      <c r="CXD166"/>
      <c r="CXE166"/>
      <c r="CXF166"/>
      <c r="CXG166"/>
      <c r="CXH166"/>
      <c r="CXI166"/>
      <c r="CXJ166"/>
      <c r="CXK166"/>
      <c r="CXL166"/>
      <c r="CXM166"/>
      <c r="CXN166"/>
      <c r="CXO166"/>
      <c r="CXP166"/>
      <c r="CXQ166"/>
      <c r="CXR166"/>
      <c r="CXS166"/>
      <c r="CXT166"/>
      <c r="CXU166"/>
      <c r="CXV166"/>
      <c r="CXW166"/>
      <c r="CXX166"/>
      <c r="CXY166"/>
      <c r="CXZ166"/>
      <c r="CYA166"/>
      <c r="CYB166"/>
      <c r="CYC166"/>
      <c r="CYD166"/>
      <c r="CYE166"/>
      <c r="CYF166"/>
      <c r="CYG166"/>
      <c r="CYH166"/>
      <c r="CYI166"/>
      <c r="CYJ166"/>
      <c r="CYK166"/>
      <c r="CYL166"/>
      <c r="CYM166"/>
      <c r="CYN166"/>
      <c r="CYO166"/>
      <c r="CYP166"/>
      <c r="CYQ166"/>
      <c r="CYR166"/>
      <c r="CYS166"/>
      <c r="CYT166"/>
      <c r="CYU166"/>
      <c r="CYV166"/>
      <c r="CYW166"/>
      <c r="CYX166"/>
      <c r="CYY166"/>
      <c r="CYZ166"/>
      <c r="CZA166"/>
      <c r="CZB166"/>
      <c r="CZC166"/>
      <c r="CZD166"/>
      <c r="CZE166"/>
      <c r="CZF166"/>
      <c r="CZG166"/>
      <c r="CZH166"/>
      <c r="CZI166"/>
      <c r="CZJ166"/>
      <c r="CZK166"/>
      <c r="CZL166"/>
      <c r="CZM166"/>
      <c r="CZN166"/>
      <c r="CZO166"/>
      <c r="CZP166"/>
      <c r="CZQ166"/>
      <c r="CZR166"/>
      <c r="CZS166"/>
      <c r="CZT166"/>
      <c r="CZU166"/>
      <c r="CZV166"/>
      <c r="CZW166"/>
      <c r="CZX166"/>
      <c r="CZY166"/>
      <c r="CZZ166"/>
      <c r="DAA166"/>
      <c r="DAB166"/>
      <c r="DAC166"/>
      <c r="DAD166"/>
      <c r="DAE166"/>
      <c r="DAF166"/>
      <c r="DAG166"/>
      <c r="DAH166"/>
      <c r="DAI166"/>
      <c r="DAJ166"/>
      <c r="DAK166"/>
      <c r="DAL166"/>
      <c r="DAM166"/>
      <c r="DAN166"/>
      <c r="DAO166"/>
      <c r="DAP166"/>
      <c r="DAQ166"/>
      <c r="DAR166"/>
      <c r="DAS166"/>
      <c r="DAT166"/>
      <c r="DAU166"/>
      <c r="DAV166"/>
      <c r="DAW166"/>
      <c r="DAX166"/>
      <c r="DAY166"/>
      <c r="DAZ166"/>
      <c r="DBA166"/>
      <c r="DBB166"/>
      <c r="DBC166"/>
      <c r="DBD166"/>
      <c r="DBE166"/>
      <c r="DBF166"/>
      <c r="DBG166"/>
      <c r="DBH166"/>
      <c r="DBI166"/>
      <c r="DBJ166"/>
      <c r="DBK166"/>
      <c r="DBL166"/>
      <c r="DBM166"/>
      <c r="DBN166"/>
      <c r="DBO166"/>
      <c r="DBP166"/>
      <c r="DBQ166"/>
      <c r="DBR166"/>
      <c r="DBS166"/>
      <c r="DBT166"/>
      <c r="DBU166"/>
      <c r="DBV166"/>
      <c r="DBW166"/>
      <c r="DBX166"/>
      <c r="DBY166"/>
      <c r="DBZ166"/>
      <c r="DCA166"/>
      <c r="DCB166"/>
      <c r="DCC166"/>
      <c r="DCD166"/>
      <c r="DCE166"/>
      <c r="DCF166"/>
      <c r="DCG166"/>
      <c r="DCH166"/>
      <c r="DCI166"/>
      <c r="DCJ166"/>
      <c r="DCK166"/>
      <c r="DCL166"/>
      <c r="DCM166"/>
      <c r="DCN166"/>
      <c r="DCO166"/>
      <c r="DCP166"/>
      <c r="DCQ166"/>
      <c r="DCR166"/>
      <c r="DCS166"/>
      <c r="DCT166"/>
      <c r="DCU166"/>
      <c r="DCV166"/>
      <c r="DCW166"/>
      <c r="DCX166"/>
      <c r="DCY166"/>
      <c r="DCZ166"/>
      <c r="DDA166"/>
      <c r="DDB166"/>
      <c r="DDC166"/>
      <c r="DDD166"/>
      <c r="DDE166"/>
      <c r="DDF166"/>
      <c r="DDG166"/>
      <c r="DDH166"/>
      <c r="DDI166"/>
      <c r="DDJ166"/>
      <c r="DDK166"/>
      <c r="DDL166"/>
      <c r="DDM166"/>
      <c r="DDN166"/>
      <c r="DDO166"/>
      <c r="DDP166"/>
      <c r="DDQ166"/>
      <c r="DDR166"/>
      <c r="DDS166"/>
      <c r="DDT166"/>
      <c r="DDU166"/>
      <c r="DDV166"/>
      <c r="DDW166"/>
      <c r="DDX166"/>
      <c r="DDY166"/>
      <c r="DDZ166"/>
      <c r="DEA166"/>
      <c r="DEB166"/>
      <c r="DEC166"/>
      <c r="DED166"/>
      <c r="DEE166"/>
      <c r="DEF166"/>
      <c r="DEG166"/>
      <c r="DEH166"/>
      <c r="DEI166"/>
      <c r="DEJ166"/>
      <c r="DEK166"/>
      <c r="DEL166"/>
      <c r="DEM166"/>
      <c r="DEN166"/>
      <c r="DEO166"/>
      <c r="DEP166"/>
      <c r="DEQ166"/>
      <c r="DER166"/>
      <c r="DES166"/>
      <c r="DET166"/>
      <c r="DEU166"/>
      <c r="DEV166"/>
      <c r="DEW166"/>
      <c r="DEX166"/>
      <c r="DEY166"/>
      <c r="DEZ166"/>
      <c r="DFA166"/>
      <c r="DFB166"/>
      <c r="DFC166"/>
      <c r="DFD166"/>
      <c r="DFE166"/>
      <c r="DFF166"/>
      <c r="DFG166"/>
      <c r="DFH166"/>
      <c r="DFI166"/>
      <c r="DFJ166"/>
      <c r="DFK166"/>
      <c r="DFL166"/>
      <c r="DFM166"/>
      <c r="DFN166"/>
      <c r="DFO166"/>
      <c r="DFP166"/>
      <c r="DFQ166"/>
      <c r="DFR166"/>
      <c r="DFS166"/>
      <c r="DFT166"/>
      <c r="DFU166"/>
      <c r="DFV166"/>
      <c r="DFW166"/>
      <c r="DFX166"/>
      <c r="DFY166"/>
      <c r="DFZ166"/>
      <c r="DGA166"/>
      <c r="DGB166"/>
      <c r="DGC166"/>
      <c r="DGD166"/>
      <c r="DGE166"/>
      <c r="DGF166"/>
      <c r="DGG166"/>
      <c r="DGH166"/>
      <c r="DGI166"/>
      <c r="DGJ166"/>
      <c r="DGK166"/>
      <c r="DGL166"/>
      <c r="DGM166"/>
      <c r="DGN166"/>
      <c r="DGO166"/>
      <c r="DGP166"/>
      <c r="DGQ166"/>
      <c r="DGR166"/>
      <c r="DGS166"/>
      <c r="DGT166"/>
      <c r="DGU166"/>
      <c r="DGV166"/>
      <c r="DGW166"/>
      <c r="DGX166"/>
      <c r="DGY166"/>
      <c r="DGZ166"/>
      <c r="DHA166"/>
      <c r="DHB166"/>
      <c r="DHC166"/>
      <c r="DHD166"/>
      <c r="DHE166"/>
      <c r="DHF166"/>
      <c r="DHG166"/>
      <c r="DHH166"/>
      <c r="DHI166"/>
      <c r="DHJ166"/>
      <c r="DHK166"/>
      <c r="DHL166"/>
      <c r="DHM166"/>
      <c r="DHN166"/>
      <c r="DHO166"/>
      <c r="DHP166"/>
      <c r="DHQ166"/>
      <c r="DHR166"/>
      <c r="DHS166"/>
      <c r="DHT166"/>
      <c r="DHU166"/>
      <c r="DHV166"/>
      <c r="DHW166"/>
      <c r="DHX166"/>
      <c r="DHY166"/>
      <c r="DHZ166"/>
      <c r="DIA166"/>
      <c r="DIB166"/>
      <c r="DIC166"/>
      <c r="DID166"/>
      <c r="DIE166"/>
      <c r="DIF166"/>
      <c r="DIG166"/>
      <c r="DIH166"/>
      <c r="DII166"/>
      <c r="DIJ166"/>
      <c r="DIK166"/>
      <c r="DIL166"/>
      <c r="DIM166"/>
      <c r="DIN166"/>
      <c r="DIO166"/>
      <c r="DIP166"/>
      <c r="DIQ166"/>
      <c r="DIR166"/>
      <c r="DIS166"/>
      <c r="DIT166"/>
      <c r="DIU166"/>
      <c r="DIV166"/>
      <c r="DIW166"/>
      <c r="DIX166"/>
      <c r="DIY166"/>
      <c r="DIZ166"/>
      <c r="DJA166"/>
      <c r="DJB166"/>
      <c r="DJC166"/>
      <c r="DJD166"/>
      <c r="DJE166"/>
      <c r="DJF166"/>
      <c r="DJG166"/>
      <c r="DJH166"/>
      <c r="DJI166"/>
      <c r="DJJ166"/>
      <c r="DJK166"/>
      <c r="DJL166"/>
      <c r="DJM166"/>
      <c r="DJN166"/>
      <c r="DJO166"/>
      <c r="DJP166"/>
      <c r="DJQ166"/>
      <c r="DJR166"/>
      <c r="DJS166"/>
      <c r="DJT166"/>
      <c r="DJU166"/>
      <c r="DJV166"/>
      <c r="DJW166"/>
      <c r="DJX166"/>
      <c r="DJY166"/>
      <c r="DJZ166"/>
      <c r="DKA166"/>
      <c r="DKB166"/>
      <c r="DKC166"/>
      <c r="DKD166"/>
      <c r="DKE166"/>
      <c r="DKF166"/>
      <c r="DKG166"/>
      <c r="DKH166"/>
      <c r="DKI166"/>
      <c r="DKJ166"/>
      <c r="DKK166"/>
      <c r="DKL166"/>
      <c r="DKM166"/>
      <c r="DKN166"/>
      <c r="DKO166"/>
      <c r="DKP166"/>
      <c r="DKQ166"/>
      <c r="DKR166"/>
      <c r="DKS166"/>
      <c r="DKT166"/>
      <c r="DKU166"/>
      <c r="DKV166"/>
      <c r="DKW166"/>
      <c r="DKX166"/>
      <c r="DKY166"/>
      <c r="DKZ166"/>
      <c r="DLA166"/>
      <c r="DLB166"/>
      <c r="DLC166"/>
      <c r="DLD166"/>
      <c r="DLE166"/>
      <c r="DLF166"/>
      <c r="DLG166"/>
      <c r="DLH166"/>
      <c r="DLI166"/>
      <c r="DLJ166"/>
      <c r="DLK166"/>
      <c r="DLL166"/>
      <c r="DLM166"/>
      <c r="DLN166"/>
      <c r="DLO166"/>
      <c r="DLP166"/>
      <c r="DLQ166"/>
      <c r="DLR166"/>
      <c r="DLS166"/>
      <c r="DLT166"/>
      <c r="DLU166"/>
      <c r="DLV166"/>
      <c r="DLW166"/>
      <c r="DLX166"/>
      <c r="DLY166"/>
      <c r="DLZ166"/>
      <c r="DMA166"/>
      <c r="DMB166"/>
      <c r="DMC166"/>
      <c r="DMD166"/>
      <c r="DME166"/>
      <c r="DMF166"/>
      <c r="DMG166"/>
      <c r="DMH166"/>
      <c r="DMI166"/>
      <c r="DMJ166"/>
      <c r="DMK166"/>
      <c r="DML166"/>
      <c r="DMM166"/>
      <c r="DMN166"/>
      <c r="DMO166"/>
      <c r="DMP166"/>
      <c r="DMQ166"/>
      <c r="DMR166"/>
      <c r="DMS166"/>
      <c r="DMT166"/>
      <c r="DMU166"/>
      <c r="DMV166"/>
      <c r="DMW166"/>
      <c r="DMX166"/>
      <c r="DMY166"/>
      <c r="DMZ166"/>
      <c r="DNA166"/>
      <c r="DNB166"/>
      <c r="DNC166"/>
      <c r="DND166"/>
      <c r="DNE166"/>
      <c r="DNF166"/>
      <c r="DNG166"/>
      <c r="DNH166"/>
      <c r="DNI166"/>
      <c r="DNJ166"/>
      <c r="DNK166"/>
      <c r="DNL166"/>
      <c r="DNM166"/>
      <c r="DNN166"/>
      <c r="DNO166"/>
      <c r="DNP166"/>
      <c r="DNQ166"/>
      <c r="DNR166"/>
      <c r="DNS166"/>
      <c r="DNT166"/>
      <c r="DNU166"/>
      <c r="DNV166"/>
      <c r="DNW166"/>
      <c r="DNX166"/>
      <c r="DNY166"/>
      <c r="DNZ166"/>
      <c r="DOA166"/>
      <c r="DOB166"/>
      <c r="DOC166"/>
      <c r="DOD166"/>
      <c r="DOE166"/>
      <c r="DOF166"/>
      <c r="DOG166"/>
      <c r="DOH166"/>
      <c r="DOI166"/>
      <c r="DOJ166"/>
      <c r="DOK166"/>
      <c r="DOL166"/>
      <c r="DOM166"/>
      <c r="DON166"/>
      <c r="DOO166"/>
      <c r="DOP166"/>
      <c r="DOQ166"/>
      <c r="DOR166"/>
      <c r="DOS166"/>
      <c r="DOT166"/>
      <c r="DOU166"/>
      <c r="DOV166"/>
      <c r="DOW166"/>
      <c r="DOX166"/>
      <c r="DOY166"/>
      <c r="DOZ166"/>
      <c r="DPA166"/>
      <c r="DPB166"/>
      <c r="DPC166"/>
      <c r="DPD166"/>
      <c r="DPE166"/>
      <c r="DPF166"/>
      <c r="DPG166"/>
      <c r="DPH166"/>
      <c r="DPI166"/>
      <c r="DPJ166"/>
      <c r="DPK166"/>
      <c r="DPL166"/>
      <c r="DPM166"/>
      <c r="DPN166"/>
      <c r="DPO166"/>
      <c r="DPP166"/>
      <c r="DPQ166"/>
      <c r="DPR166"/>
      <c r="DPS166"/>
      <c r="DPT166"/>
      <c r="DPU166"/>
      <c r="DPV166"/>
      <c r="DPW166"/>
      <c r="DPX166"/>
      <c r="DPY166"/>
      <c r="DPZ166"/>
      <c r="DQA166"/>
      <c r="DQB166"/>
      <c r="DQC166"/>
      <c r="DQD166"/>
      <c r="DQE166"/>
      <c r="DQF166"/>
      <c r="DQG166"/>
      <c r="DQH166"/>
      <c r="DQI166"/>
      <c r="DQJ166"/>
      <c r="DQK166"/>
      <c r="DQL166"/>
      <c r="DQM166"/>
      <c r="DQN166"/>
      <c r="DQO166"/>
      <c r="DQP166"/>
      <c r="DQQ166"/>
      <c r="DQR166"/>
      <c r="DQS166"/>
      <c r="DQT166"/>
      <c r="DQU166"/>
      <c r="DQV166"/>
      <c r="DQW166"/>
      <c r="DQX166"/>
      <c r="DQY166"/>
      <c r="DQZ166"/>
      <c r="DRA166"/>
      <c r="DRB166"/>
      <c r="DRC166"/>
      <c r="DRD166"/>
      <c r="DRE166"/>
      <c r="DRF166"/>
      <c r="DRG166"/>
      <c r="DRH166"/>
      <c r="DRI166"/>
      <c r="DRJ166"/>
      <c r="DRK166"/>
      <c r="DRL166"/>
      <c r="DRM166"/>
      <c r="DRN166"/>
      <c r="DRO166"/>
      <c r="DRP166"/>
      <c r="DRQ166"/>
      <c r="DRR166"/>
      <c r="DRS166"/>
      <c r="DRT166"/>
      <c r="DRU166"/>
      <c r="DRV166"/>
      <c r="DRW166"/>
      <c r="DRX166"/>
      <c r="DRY166"/>
      <c r="DRZ166"/>
      <c r="DSA166"/>
      <c r="DSB166"/>
      <c r="DSC166"/>
      <c r="DSD166"/>
      <c r="DSE166"/>
      <c r="DSF166"/>
      <c r="DSG166"/>
      <c r="DSH166"/>
      <c r="DSI166"/>
      <c r="DSJ166"/>
      <c r="DSK166"/>
      <c r="DSL166"/>
      <c r="DSM166"/>
      <c r="DSN166"/>
      <c r="DSO166"/>
      <c r="DSP166"/>
      <c r="DSQ166"/>
      <c r="DSR166"/>
      <c r="DSS166"/>
      <c r="DST166"/>
      <c r="DSU166"/>
      <c r="DSV166"/>
      <c r="DSW166"/>
      <c r="DSX166"/>
      <c r="DSY166"/>
      <c r="DSZ166"/>
      <c r="DTA166"/>
      <c r="DTB166"/>
      <c r="DTC166"/>
      <c r="DTD166"/>
      <c r="DTE166"/>
      <c r="DTF166"/>
      <c r="DTG166"/>
      <c r="DTH166"/>
      <c r="DTI166"/>
      <c r="DTJ166"/>
      <c r="DTK166"/>
      <c r="DTL166"/>
      <c r="DTM166"/>
      <c r="DTN166"/>
      <c r="DTO166"/>
      <c r="DTP166"/>
      <c r="DTQ166"/>
      <c r="DTR166"/>
      <c r="DTS166"/>
      <c r="DTT166"/>
      <c r="DTU166"/>
      <c r="DTV166"/>
      <c r="DTW166"/>
      <c r="DTX166"/>
      <c r="DTY166"/>
      <c r="DTZ166"/>
      <c r="DUA166"/>
      <c r="DUB166"/>
      <c r="DUC166"/>
      <c r="DUD166"/>
      <c r="DUE166"/>
      <c r="DUF166"/>
      <c r="DUG166"/>
      <c r="DUH166"/>
      <c r="DUI166"/>
      <c r="DUJ166"/>
      <c r="DUK166"/>
      <c r="DUL166"/>
      <c r="DUM166"/>
      <c r="DUN166"/>
      <c r="DUO166"/>
      <c r="DUP166"/>
      <c r="DUQ166"/>
      <c r="DUR166"/>
      <c r="DUS166"/>
      <c r="DUT166"/>
      <c r="DUU166"/>
      <c r="DUV166"/>
      <c r="DUW166"/>
      <c r="DUX166"/>
      <c r="DUY166"/>
      <c r="DUZ166"/>
      <c r="DVA166"/>
      <c r="DVB166"/>
      <c r="DVC166"/>
      <c r="DVD166"/>
      <c r="DVE166"/>
      <c r="DVF166"/>
      <c r="DVG166"/>
      <c r="DVH166"/>
      <c r="DVI166"/>
      <c r="DVJ166"/>
      <c r="DVK166"/>
      <c r="DVL166"/>
      <c r="DVM166"/>
      <c r="DVN166"/>
      <c r="DVO166"/>
      <c r="DVP166"/>
      <c r="DVQ166"/>
      <c r="DVR166"/>
      <c r="DVS166"/>
      <c r="DVT166"/>
      <c r="DVU166"/>
      <c r="DVV166"/>
      <c r="DVW166"/>
      <c r="DVX166"/>
      <c r="DVY166"/>
      <c r="DVZ166"/>
      <c r="DWA166"/>
      <c r="DWB166"/>
      <c r="DWC166"/>
      <c r="DWD166"/>
      <c r="DWE166"/>
      <c r="DWF166"/>
      <c r="DWG166"/>
      <c r="DWH166"/>
      <c r="DWI166"/>
      <c r="DWJ166"/>
      <c r="DWK166"/>
      <c r="DWL166"/>
      <c r="DWM166"/>
      <c r="DWN166"/>
      <c r="DWO166"/>
      <c r="DWP166"/>
      <c r="DWQ166"/>
      <c r="DWR166"/>
      <c r="DWS166"/>
      <c r="DWT166"/>
      <c r="DWU166"/>
      <c r="DWV166"/>
      <c r="DWW166"/>
      <c r="DWX166"/>
      <c r="DWY166"/>
      <c r="DWZ166"/>
      <c r="DXA166"/>
      <c r="DXB166"/>
      <c r="DXC166"/>
      <c r="DXD166"/>
      <c r="DXE166"/>
      <c r="DXF166"/>
      <c r="DXG166"/>
      <c r="DXH166"/>
      <c r="DXI166"/>
      <c r="DXJ166"/>
      <c r="DXK166"/>
      <c r="DXL166"/>
      <c r="DXM166"/>
      <c r="DXN166"/>
      <c r="DXO166"/>
      <c r="DXP166"/>
      <c r="DXQ166"/>
      <c r="DXR166"/>
      <c r="DXS166"/>
      <c r="DXT166"/>
      <c r="DXU166"/>
      <c r="DXV166"/>
      <c r="DXW166"/>
      <c r="DXX166"/>
      <c r="DXY166"/>
      <c r="DXZ166"/>
      <c r="DYA166"/>
      <c r="DYB166"/>
      <c r="DYC166"/>
      <c r="DYD166"/>
      <c r="DYE166"/>
      <c r="DYF166"/>
      <c r="DYG166"/>
      <c r="DYH166"/>
      <c r="DYI166"/>
      <c r="DYJ166"/>
      <c r="DYK166"/>
      <c r="DYL166"/>
      <c r="DYM166"/>
      <c r="DYN166"/>
      <c r="DYO166"/>
      <c r="DYP166"/>
      <c r="DYQ166"/>
      <c r="DYR166"/>
      <c r="DYS166"/>
      <c r="DYT166"/>
      <c r="DYU166"/>
      <c r="DYV166"/>
      <c r="DYW166"/>
      <c r="DYX166"/>
      <c r="DYY166"/>
      <c r="DYZ166"/>
      <c r="DZA166"/>
      <c r="DZB166"/>
      <c r="DZC166"/>
      <c r="DZD166"/>
      <c r="DZE166"/>
      <c r="DZF166"/>
      <c r="DZG166"/>
      <c r="DZH166"/>
      <c r="DZI166"/>
      <c r="DZJ166"/>
      <c r="DZK166"/>
      <c r="DZL166"/>
      <c r="DZM166"/>
      <c r="DZN166"/>
      <c r="DZO166"/>
      <c r="DZP166"/>
      <c r="DZQ166"/>
      <c r="DZR166"/>
      <c r="DZS166"/>
      <c r="DZT166"/>
      <c r="DZU166"/>
      <c r="DZV166"/>
      <c r="DZW166"/>
      <c r="DZX166"/>
      <c r="DZY166"/>
      <c r="DZZ166"/>
      <c r="EAA166"/>
      <c r="EAB166"/>
      <c r="EAC166"/>
      <c r="EAD166"/>
      <c r="EAE166"/>
      <c r="EAF166"/>
      <c r="EAG166"/>
      <c r="EAH166"/>
      <c r="EAI166"/>
      <c r="EAJ166"/>
      <c r="EAK166"/>
      <c r="EAL166"/>
      <c r="EAM166"/>
      <c r="EAN166"/>
      <c r="EAO166"/>
      <c r="EAP166"/>
      <c r="EAQ166"/>
      <c r="EAR166"/>
      <c r="EAS166"/>
      <c r="EAT166"/>
      <c r="EAU166"/>
      <c r="EAV166"/>
      <c r="EAW166"/>
      <c r="EAX166"/>
      <c r="EAY166"/>
      <c r="EAZ166"/>
      <c r="EBA166"/>
      <c r="EBB166"/>
      <c r="EBC166"/>
      <c r="EBD166"/>
      <c r="EBE166"/>
      <c r="EBF166"/>
      <c r="EBG166"/>
      <c r="EBH166"/>
      <c r="EBI166"/>
      <c r="EBJ166"/>
      <c r="EBK166"/>
      <c r="EBL166"/>
      <c r="EBM166"/>
      <c r="EBN166"/>
      <c r="EBO166"/>
      <c r="EBP166"/>
      <c r="EBQ166"/>
      <c r="EBR166"/>
      <c r="EBS166"/>
      <c r="EBT166"/>
      <c r="EBU166"/>
      <c r="EBV166"/>
      <c r="EBW166"/>
      <c r="EBX166"/>
      <c r="EBY166"/>
      <c r="EBZ166"/>
      <c r="ECA166"/>
      <c r="ECB166"/>
      <c r="ECC166"/>
      <c r="ECD166"/>
      <c r="ECE166"/>
      <c r="ECF166"/>
      <c r="ECG166"/>
      <c r="ECH166"/>
      <c r="ECI166"/>
      <c r="ECJ166"/>
      <c r="ECK166"/>
      <c r="ECL166"/>
      <c r="ECM166"/>
      <c r="ECN166"/>
      <c r="ECO166"/>
      <c r="ECP166"/>
      <c r="ECQ166"/>
      <c r="ECR166"/>
      <c r="ECS166"/>
      <c r="ECT166"/>
      <c r="ECU166"/>
      <c r="ECV166"/>
      <c r="ECW166"/>
      <c r="ECX166"/>
      <c r="ECY166"/>
      <c r="ECZ166"/>
      <c r="EDA166"/>
      <c r="EDB166"/>
      <c r="EDC166"/>
      <c r="EDD166"/>
      <c r="EDE166"/>
      <c r="EDF166"/>
      <c r="EDG166"/>
      <c r="EDH166"/>
      <c r="EDI166"/>
      <c r="EDJ166"/>
      <c r="EDK166"/>
      <c r="EDL166"/>
      <c r="EDM166"/>
      <c r="EDN166"/>
      <c r="EDO166"/>
      <c r="EDP166"/>
      <c r="EDQ166"/>
      <c r="EDR166"/>
      <c r="EDS166"/>
      <c r="EDT166"/>
      <c r="EDU166"/>
      <c r="EDV166"/>
      <c r="EDW166"/>
      <c r="EDX166"/>
      <c r="EDY166"/>
      <c r="EDZ166"/>
      <c r="EEA166"/>
      <c r="EEB166"/>
      <c r="EEC166"/>
      <c r="EED166"/>
      <c r="EEE166"/>
      <c r="EEF166"/>
      <c r="EEG166"/>
      <c r="EEH166"/>
      <c r="EEI166"/>
      <c r="EEJ166"/>
      <c r="EEK166"/>
      <c r="EEL166"/>
      <c r="EEM166"/>
      <c r="EEN166"/>
      <c r="EEO166"/>
      <c r="EEP166"/>
      <c r="EEQ166"/>
      <c r="EER166"/>
      <c r="EES166"/>
      <c r="EET166"/>
      <c r="EEU166"/>
      <c r="EEV166"/>
      <c r="EEW166"/>
      <c r="EEX166"/>
      <c r="EEY166"/>
      <c r="EEZ166"/>
      <c r="EFA166"/>
      <c r="EFB166"/>
      <c r="EFC166"/>
      <c r="EFD166"/>
      <c r="EFE166"/>
      <c r="EFF166"/>
      <c r="EFG166"/>
      <c r="EFH166"/>
      <c r="EFI166"/>
      <c r="EFJ166"/>
      <c r="EFK166"/>
      <c r="EFL166"/>
      <c r="EFM166"/>
      <c r="EFN166"/>
      <c r="EFO166"/>
      <c r="EFP166"/>
      <c r="EFQ166"/>
      <c r="EFR166"/>
      <c r="EFS166"/>
      <c r="EFT166"/>
      <c r="EFU166"/>
      <c r="EFV166"/>
      <c r="EFW166"/>
      <c r="EFX166"/>
      <c r="EFY166"/>
      <c r="EFZ166"/>
      <c r="EGA166"/>
      <c r="EGB166"/>
      <c r="EGC166"/>
      <c r="EGD166"/>
      <c r="EGE166"/>
      <c r="EGF166"/>
      <c r="EGG166"/>
      <c r="EGH166"/>
      <c r="EGI166"/>
      <c r="EGJ166"/>
      <c r="EGK166"/>
      <c r="EGL166"/>
      <c r="EGM166"/>
      <c r="EGN166"/>
      <c r="EGO166"/>
      <c r="EGP166"/>
      <c r="EGQ166"/>
      <c r="EGR166"/>
      <c r="EGS166"/>
      <c r="EGT166"/>
      <c r="EGU166"/>
      <c r="EGV166"/>
      <c r="EGW166"/>
      <c r="EGX166"/>
      <c r="EGY166"/>
      <c r="EGZ166"/>
      <c r="EHA166"/>
      <c r="EHB166"/>
      <c r="EHC166"/>
      <c r="EHD166"/>
      <c r="EHE166"/>
      <c r="EHF166"/>
      <c r="EHG166"/>
      <c r="EHH166"/>
      <c r="EHI166"/>
      <c r="EHJ166"/>
      <c r="EHK166"/>
      <c r="EHL166"/>
      <c r="EHM166"/>
      <c r="EHN166"/>
      <c r="EHO166"/>
      <c r="EHP166"/>
      <c r="EHQ166"/>
      <c r="EHR166"/>
      <c r="EHS166"/>
      <c r="EHT166"/>
      <c r="EHU166"/>
      <c r="EHV166"/>
      <c r="EHW166"/>
      <c r="EHX166"/>
      <c r="EHY166"/>
      <c r="EHZ166"/>
      <c r="EIA166"/>
      <c r="EIB166"/>
      <c r="EIC166"/>
      <c r="EID166"/>
      <c r="EIE166"/>
      <c r="EIF166"/>
      <c r="EIG166"/>
      <c r="EIH166"/>
      <c r="EII166"/>
      <c r="EIJ166"/>
      <c r="EIK166"/>
      <c r="EIL166"/>
      <c r="EIM166"/>
      <c r="EIN166"/>
      <c r="EIO166"/>
      <c r="EIP166"/>
      <c r="EIQ166"/>
      <c r="EIR166"/>
      <c r="EIS166"/>
      <c r="EIT166"/>
      <c r="EIU166"/>
      <c r="EIV166"/>
      <c r="EIW166"/>
      <c r="EIX166"/>
      <c r="EIY166"/>
      <c r="EIZ166"/>
      <c r="EJA166"/>
      <c r="EJB166"/>
      <c r="EJC166"/>
      <c r="EJD166"/>
      <c r="EJE166"/>
      <c r="EJF166"/>
      <c r="EJG166"/>
      <c r="EJH166"/>
      <c r="EJI166"/>
      <c r="EJJ166"/>
      <c r="EJK166"/>
      <c r="EJL166"/>
      <c r="EJM166"/>
      <c r="EJN166"/>
      <c r="EJO166"/>
      <c r="EJP166"/>
      <c r="EJQ166"/>
      <c r="EJR166"/>
      <c r="EJS166"/>
      <c r="EJT166"/>
      <c r="EJU166"/>
      <c r="EJV166"/>
      <c r="EJW166"/>
      <c r="EJX166"/>
      <c r="EJY166"/>
      <c r="EJZ166"/>
      <c r="EKA166"/>
      <c r="EKB166"/>
      <c r="EKC166"/>
      <c r="EKD166"/>
      <c r="EKE166"/>
      <c r="EKF166"/>
      <c r="EKG166"/>
      <c r="EKH166"/>
      <c r="EKI166"/>
      <c r="EKJ166"/>
      <c r="EKK166"/>
      <c r="EKL166"/>
      <c r="EKM166"/>
      <c r="EKN166"/>
      <c r="EKO166"/>
      <c r="EKP166"/>
      <c r="EKQ166"/>
      <c r="EKR166"/>
      <c r="EKS166"/>
      <c r="EKT166"/>
      <c r="EKU166"/>
      <c r="EKV166"/>
      <c r="EKW166"/>
      <c r="EKX166"/>
      <c r="EKY166"/>
      <c r="EKZ166"/>
      <c r="ELA166"/>
      <c r="ELB166"/>
      <c r="ELC166"/>
      <c r="ELD166"/>
      <c r="ELE166"/>
      <c r="ELF166"/>
      <c r="ELG166"/>
      <c r="ELH166"/>
      <c r="ELI166"/>
      <c r="ELJ166"/>
      <c r="ELK166"/>
      <c r="ELL166"/>
      <c r="ELM166"/>
      <c r="ELN166"/>
      <c r="ELO166"/>
      <c r="ELP166"/>
      <c r="ELQ166"/>
      <c r="ELR166"/>
      <c r="ELS166"/>
      <c r="ELT166"/>
      <c r="ELU166"/>
      <c r="ELV166"/>
      <c r="ELW166"/>
      <c r="ELX166"/>
      <c r="ELY166"/>
      <c r="ELZ166"/>
      <c r="EMA166"/>
      <c r="EMB166"/>
      <c r="EMC166"/>
      <c r="EMD166"/>
      <c r="EME166"/>
      <c r="EMF166"/>
      <c r="EMG166"/>
      <c r="EMH166"/>
      <c r="EMI166"/>
      <c r="EMJ166"/>
      <c r="EMK166"/>
      <c r="EML166"/>
      <c r="EMM166"/>
      <c r="EMN166"/>
      <c r="EMO166"/>
      <c r="EMP166"/>
      <c r="EMQ166"/>
      <c r="EMR166"/>
      <c r="EMS166"/>
      <c r="EMT166"/>
      <c r="EMU166"/>
      <c r="EMV166"/>
      <c r="EMW166"/>
      <c r="EMX166"/>
      <c r="EMY166"/>
      <c r="EMZ166"/>
      <c r="ENA166"/>
      <c r="ENB166"/>
      <c r="ENC166"/>
      <c r="END166"/>
      <c r="ENE166"/>
      <c r="ENF166"/>
      <c r="ENG166"/>
      <c r="ENH166"/>
      <c r="ENI166"/>
      <c r="ENJ166"/>
      <c r="ENK166"/>
      <c r="ENL166"/>
      <c r="ENM166"/>
      <c r="ENN166"/>
      <c r="ENO166"/>
      <c r="ENP166"/>
      <c r="ENQ166"/>
      <c r="ENR166"/>
      <c r="ENS166"/>
      <c r="ENT166"/>
      <c r="ENU166"/>
      <c r="ENV166"/>
      <c r="ENW166"/>
      <c r="ENX166"/>
      <c r="ENY166"/>
      <c r="ENZ166"/>
      <c r="EOA166"/>
      <c r="EOB166"/>
      <c r="EOC166"/>
      <c r="EOD166"/>
      <c r="EOE166"/>
      <c r="EOF166"/>
      <c r="EOG166"/>
      <c r="EOH166"/>
      <c r="EOI166"/>
      <c r="EOJ166"/>
      <c r="EOK166"/>
      <c r="EOL166"/>
      <c r="EOM166"/>
      <c r="EON166"/>
      <c r="EOO166"/>
      <c r="EOP166"/>
      <c r="EOQ166"/>
      <c r="EOR166"/>
      <c r="EOS166"/>
      <c r="EOT166"/>
      <c r="EOU166"/>
      <c r="EOV166"/>
      <c r="EOW166"/>
      <c r="EOX166"/>
      <c r="EOY166"/>
      <c r="EOZ166"/>
      <c r="EPA166"/>
      <c r="EPB166"/>
      <c r="EPC166"/>
      <c r="EPD166"/>
      <c r="EPE166"/>
      <c r="EPF166"/>
      <c r="EPG166"/>
      <c r="EPH166"/>
      <c r="EPI166"/>
      <c r="EPJ166"/>
      <c r="EPK166"/>
      <c r="EPL166"/>
      <c r="EPM166"/>
      <c r="EPN166"/>
      <c r="EPO166"/>
      <c r="EPP166"/>
      <c r="EPQ166"/>
      <c r="EPR166"/>
      <c r="EPS166"/>
      <c r="EPT166"/>
      <c r="EPU166"/>
      <c r="EPV166"/>
      <c r="EPW166"/>
      <c r="EPX166"/>
      <c r="EPY166"/>
      <c r="EPZ166"/>
      <c r="EQA166"/>
      <c r="EQB166"/>
      <c r="EQC166"/>
      <c r="EQD166"/>
      <c r="EQE166"/>
      <c r="EQF166"/>
      <c r="EQG166"/>
      <c r="EQH166"/>
      <c r="EQI166"/>
      <c r="EQJ166"/>
      <c r="EQK166"/>
      <c r="EQL166"/>
      <c r="EQM166"/>
      <c r="EQN166"/>
      <c r="EQO166"/>
      <c r="EQP166"/>
      <c r="EQQ166"/>
      <c r="EQR166"/>
      <c r="EQS166"/>
      <c r="EQT166"/>
      <c r="EQU166"/>
      <c r="EQV166"/>
      <c r="EQW166"/>
      <c r="EQX166"/>
      <c r="EQY166"/>
      <c r="EQZ166"/>
      <c r="ERA166"/>
      <c r="ERB166"/>
      <c r="ERC166"/>
      <c r="ERD166"/>
      <c r="ERE166"/>
      <c r="ERF166"/>
      <c r="ERG166"/>
      <c r="ERH166"/>
      <c r="ERI166"/>
      <c r="ERJ166"/>
      <c r="ERK166"/>
      <c r="ERL166"/>
      <c r="ERM166"/>
      <c r="ERN166"/>
      <c r="ERO166"/>
      <c r="ERP166"/>
      <c r="ERQ166"/>
      <c r="ERR166"/>
      <c r="ERS166"/>
      <c r="ERT166"/>
      <c r="ERU166"/>
      <c r="ERV166"/>
      <c r="ERW166"/>
      <c r="ERX166"/>
      <c r="ERY166"/>
      <c r="ERZ166"/>
      <c r="ESA166"/>
      <c r="ESB166"/>
      <c r="ESC166"/>
      <c r="ESD166"/>
      <c r="ESE166"/>
      <c r="ESF166"/>
      <c r="ESG166"/>
      <c r="ESH166"/>
      <c r="ESI166"/>
      <c r="ESJ166"/>
      <c r="ESK166"/>
      <c r="ESL166"/>
      <c r="ESM166"/>
      <c r="ESN166"/>
      <c r="ESO166"/>
      <c r="ESP166"/>
      <c r="ESQ166"/>
      <c r="ESR166"/>
      <c r="ESS166"/>
      <c r="EST166"/>
      <c r="ESU166"/>
      <c r="ESV166"/>
      <c r="ESW166"/>
      <c r="ESX166"/>
      <c r="ESY166"/>
      <c r="ESZ166"/>
      <c r="ETA166"/>
      <c r="ETB166"/>
      <c r="ETC166"/>
      <c r="ETD166"/>
      <c r="ETE166"/>
      <c r="ETF166"/>
      <c r="ETG166"/>
      <c r="ETH166"/>
      <c r="ETI166"/>
      <c r="ETJ166"/>
      <c r="ETK166"/>
      <c r="ETL166"/>
      <c r="ETM166"/>
      <c r="ETN166"/>
      <c r="ETO166"/>
      <c r="ETP166"/>
      <c r="ETQ166"/>
      <c r="ETR166"/>
      <c r="ETS166"/>
      <c r="ETT166"/>
      <c r="ETU166"/>
      <c r="ETV166"/>
      <c r="ETW166"/>
      <c r="ETX166"/>
      <c r="ETY166"/>
      <c r="ETZ166"/>
      <c r="EUA166"/>
      <c r="EUB166"/>
      <c r="EUC166"/>
      <c r="EUD166"/>
      <c r="EUE166"/>
      <c r="EUF166"/>
      <c r="EUG166"/>
      <c r="EUH166"/>
      <c r="EUI166"/>
      <c r="EUJ166"/>
      <c r="EUK166"/>
      <c r="EUL166"/>
      <c r="EUM166"/>
      <c r="EUN166"/>
      <c r="EUO166"/>
      <c r="EUP166"/>
      <c r="EUQ166"/>
      <c r="EUR166"/>
      <c r="EUS166"/>
      <c r="EUT166"/>
      <c r="EUU166"/>
      <c r="EUV166"/>
      <c r="EUW166"/>
      <c r="EUX166"/>
      <c r="EUY166"/>
      <c r="EUZ166"/>
      <c r="EVA166"/>
      <c r="EVB166"/>
      <c r="EVC166"/>
      <c r="EVD166"/>
      <c r="EVE166"/>
      <c r="EVF166"/>
      <c r="EVG166"/>
      <c r="EVH166"/>
      <c r="EVI166"/>
      <c r="EVJ166"/>
      <c r="EVK166"/>
      <c r="EVL166"/>
      <c r="EVM166"/>
      <c r="EVN166"/>
      <c r="EVO166"/>
      <c r="EVP166"/>
      <c r="EVQ166"/>
      <c r="EVR166"/>
      <c r="EVS166"/>
      <c r="EVT166"/>
      <c r="EVU166"/>
      <c r="EVV166"/>
      <c r="EVW166"/>
      <c r="EVX166"/>
      <c r="EVY166"/>
      <c r="EVZ166"/>
      <c r="EWA166"/>
      <c r="EWB166"/>
      <c r="EWC166"/>
      <c r="EWD166"/>
      <c r="EWE166"/>
      <c r="EWF166"/>
      <c r="EWG166"/>
      <c r="EWH166"/>
      <c r="EWI166"/>
      <c r="EWJ166"/>
      <c r="EWK166"/>
      <c r="EWL166"/>
      <c r="EWM166"/>
      <c r="EWN166"/>
      <c r="EWO166"/>
      <c r="EWP166"/>
      <c r="EWQ166"/>
      <c r="EWR166"/>
      <c r="EWS166"/>
      <c r="EWT166"/>
      <c r="EWU166"/>
      <c r="EWV166"/>
      <c r="EWW166"/>
      <c r="EWX166"/>
      <c r="EWY166"/>
      <c r="EWZ166"/>
      <c r="EXA166"/>
      <c r="EXB166"/>
      <c r="EXC166"/>
      <c r="EXD166"/>
      <c r="EXE166"/>
      <c r="EXF166"/>
      <c r="EXG166"/>
      <c r="EXH166"/>
      <c r="EXI166"/>
      <c r="EXJ166"/>
      <c r="EXK166"/>
      <c r="EXL166"/>
      <c r="EXM166"/>
      <c r="EXN166"/>
      <c r="EXO166"/>
      <c r="EXP166"/>
      <c r="EXQ166"/>
      <c r="EXR166"/>
      <c r="EXS166"/>
      <c r="EXT166"/>
      <c r="EXU166"/>
      <c r="EXV166"/>
      <c r="EXW166"/>
      <c r="EXX166"/>
      <c r="EXY166"/>
      <c r="EXZ166"/>
      <c r="EYA166"/>
      <c r="EYB166"/>
      <c r="EYC166"/>
      <c r="EYD166"/>
      <c r="EYE166"/>
      <c r="EYF166"/>
      <c r="EYG166"/>
      <c r="EYH166"/>
      <c r="EYI166"/>
      <c r="EYJ166"/>
      <c r="EYK166"/>
      <c r="EYL166"/>
      <c r="EYM166"/>
      <c r="EYN166"/>
      <c r="EYO166"/>
      <c r="EYP166"/>
      <c r="EYQ166"/>
      <c r="EYR166"/>
      <c r="EYS166"/>
      <c r="EYT166"/>
      <c r="EYU166"/>
      <c r="EYV166"/>
      <c r="EYW166"/>
      <c r="EYX166"/>
      <c r="EYY166"/>
      <c r="EYZ166"/>
      <c r="EZA166"/>
      <c r="EZB166"/>
      <c r="EZC166"/>
      <c r="EZD166"/>
      <c r="EZE166"/>
      <c r="EZF166"/>
      <c r="EZG166"/>
      <c r="EZH166"/>
      <c r="EZI166"/>
      <c r="EZJ166"/>
      <c r="EZK166"/>
      <c r="EZL166"/>
      <c r="EZM166"/>
      <c r="EZN166"/>
      <c r="EZO166"/>
      <c r="EZP166"/>
      <c r="EZQ166"/>
      <c r="EZR166"/>
      <c r="EZS166"/>
      <c r="EZT166"/>
      <c r="EZU166"/>
      <c r="EZV166"/>
      <c r="EZW166"/>
      <c r="EZX166"/>
      <c r="EZY166"/>
      <c r="EZZ166"/>
      <c r="FAA166"/>
      <c r="FAB166"/>
      <c r="FAC166"/>
      <c r="FAD166"/>
      <c r="FAE166"/>
      <c r="FAF166"/>
      <c r="FAG166"/>
      <c r="FAH166"/>
      <c r="FAI166"/>
      <c r="FAJ166"/>
      <c r="FAK166"/>
      <c r="FAL166"/>
      <c r="FAM166"/>
      <c r="FAN166"/>
      <c r="FAO166"/>
      <c r="FAP166"/>
      <c r="FAQ166"/>
      <c r="FAR166"/>
      <c r="FAS166"/>
      <c r="FAT166"/>
      <c r="FAU166"/>
      <c r="FAV166"/>
      <c r="FAW166"/>
      <c r="FAX166"/>
      <c r="FAY166"/>
      <c r="FAZ166"/>
      <c r="FBA166"/>
      <c r="FBB166"/>
      <c r="FBC166"/>
      <c r="FBD166"/>
      <c r="FBE166"/>
      <c r="FBF166"/>
      <c r="FBG166"/>
      <c r="FBH166"/>
      <c r="FBI166"/>
      <c r="FBJ166"/>
      <c r="FBK166"/>
      <c r="FBL166"/>
      <c r="FBM166"/>
      <c r="FBN166"/>
      <c r="FBO166"/>
      <c r="FBP166"/>
      <c r="FBQ166"/>
      <c r="FBR166"/>
      <c r="FBS166"/>
      <c r="FBT166"/>
      <c r="FBU166"/>
      <c r="FBV166"/>
      <c r="FBW166"/>
      <c r="FBX166"/>
      <c r="FBY166"/>
      <c r="FBZ166"/>
      <c r="FCA166"/>
      <c r="FCB166"/>
      <c r="FCC166"/>
      <c r="FCD166"/>
      <c r="FCE166"/>
      <c r="FCF166"/>
      <c r="FCG166"/>
      <c r="FCH166"/>
      <c r="FCI166"/>
      <c r="FCJ166"/>
      <c r="FCK166"/>
      <c r="FCL166"/>
      <c r="FCM166"/>
      <c r="FCN166"/>
      <c r="FCO166"/>
      <c r="FCP166"/>
      <c r="FCQ166"/>
      <c r="FCR166"/>
      <c r="FCS166"/>
      <c r="FCT166"/>
      <c r="FCU166"/>
      <c r="FCV166"/>
      <c r="FCW166"/>
      <c r="FCX166"/>
      <c r="FCY166"/>
      <c r="FCZ166"/>
      <c r="FDA166"/>
      <c r="FDB166"/>
      <c r="FDC166"/>
      <c r="FDD166"/>
      <c r="FDE166"/>
      <c r="FDF166"/>
      <c r="FDG166"/>
      <c r="FDH166"/>
      <c r="FDI166"/>
      <c r="FDJ166"/>
      <c r="FDK166"/>
      <c r="FDL166"/>
      <c r="FDM166"/>
      <c r="FDN166"/>
      <c r="FDO166"/>
      <c r="FDP166"/>
      <c r="FDQ166"/>
      <c r="FDR166"/>
      <c r="FDS166"/>
      <c r="FDT166"/>
      <c r="FDU166"/>
      <c r="FDV166"/>
      <c r="FDW166"/>
      <c r="FDX166"/>
      <c r="FDY166"/>
      <c r="FDZ166"/>
      <c r="FEA166"/>
      <c r="FEB166"/>
      <c r="FEC166"/>
      <c r="FED166"/>
      <c r="FEE166"/>
      <c r="FEF166"/>
      <c r="FEG166"/>
      <c r="FEH166"/>
      <c r="FEI166"/>
      <c r="FEJ166"/>
      <c r="FEK166"/>
      <c r="FEL166"/>
      <c r="FEM166"/>
      <c r="FEN166"/>
      <c r="FEO166"/>
      <c r="FEP166"/>
      <c r="FEQ166"/>
      <c r="FER166"/>
      <c r="FES166"/>
      <c r="FET166"/>
      <c r="FEU166"/>
      <c r="FEV166"/>
      <c r="FEW166"/>
      <c r="FEX166"/>
      <c r="FEY166"/>
      <c r="FEZ166"/>
      <c r="FFA166"/>
      <c r="FFB166"/>
      <c r="FFC166"/>
      <c r="FFD166"/>
      <c r="FFE166"/>
      <c r="FFF166"/>
      <c r="FFG166"/>
      <c r="FFH166"/>
      <c r="FFI166"/>
      <c r="FFJ166"/>
      <c r="FFK166"/>
      <c r="FFL166"/>
      <c r="FFM166"/>
      <c r="FFN166"/>
      <c r="FFO166"/>
      <c r="FFP166"/>
      <c r="FFQ166"/>
      <c r="FFR166"/>
      <c r="FFS166"/>
      <c r="FFT166"/>
      <c r="FFU166"/>
      <c r="FFV166"/>
      <c r="FFW166"/>
      <c r="FFX166"/>
      <c r="FFY166"/>
      <c r="FFZ166"/>
      <c r="FGA166"/>
      <c r="FGB166"/>
      <c r="FGC166"/>
      <c r="FGD166"/>
      <c r="FGE166"/>
      <c r="FGF166"/>
      <c r="FGG166"/>
      <c r="FGH166"/>
      <c r="FGI166"/>
      <c r="FGJ166"/>
      <c r="FGK166"/>
      <c r="FGL166"/>
      <c r="FGM166"/>
      <c r="FGN166"/>
      <c r="FGO166"/>
      <c r="FGP166"/>
      <c r="FGQ166"/>
      <c r="FGR166"/>
      <c r="FGS166"/>
      <c r="FGT166"/>
      <c r="FGU166"/>
      <c r="FGV166"/>
      <c r="FGW166"/>
      <c r="FGX166"/>
      <c r="FGY166"/>
      <c r="FGZ166"/>
      <c r="FHA166"/>
      <c r="FHB166"/>
      <c r="FHC166"/>
      <c r="FHD166"/>
      <c r="FHE166"/>
      <c r="FHF166"/>
      <c r="FHG166"/>
      <c r="FHH166"/>
      <c r="FHI166"/>
      <c r="FHJ166"/>
      <c r="FHK166"/>
      <c r="FHL166"/>
      <c r="FHM166"/>
      <c r="FHN166"/>
      <c r="FHO166"/>
      <c r="FHP166"/>
      <c r="FHQ166"/>
      <c r="FHR166"/>
      <c r="FHS166"/>
      <c r="FHT166"/>
      <c r="FHU166"/>
      <c r="FHV166"/>
      <c r="FHW166"/>
      <c r="FHX166"/>
      <c r="FHY166"/>
      <c r="FHZ166"/>
      <c r="FIA166"/>
      <c r="FIB166"/>
      <c r="FIC166"/>
      <c r="FID166"/>
      <c r="FIE166"/>
      <c r="FIF166"/>
      <c r="FIG166"/>
      <c r="FIH166"/>
      <c r="FII166"/>
      <c r="FIJ166"/>
      <c r="FIK166"/>
      <c r="FIL166"/>
      <c r="FIM166"/>
      <c r="FIN166"/>
      <c r="FIO166"/>
      <c r="FIP166"/>
      <c r="FIQ166"/>
      <c r="FIR166"/>
      <c r="FIS166"/>
      <c r="FIT166"/>
      <c r="FIU166"/>
      <c r="FIV166"/>
      <c r="FIW166"/>
      <c r="FIX166"/>
      <c r="FIY166"/>
      <c r="FIZ166"/>
      <c r="FJA166"/>
      <c r="FJB166"/>
      <c r="FJC166"/>
      <c r="FJD166"/>
      <c r="FJE166"/>
      <c r="FJF166"/>
      <c r="FJG166"/>
      <c r="FJH166"/>
      <c r="FJI166"/>
      <c r="FJJ166"/>
      <c r="FJK166"/>
      <c r="FJL166"/>
      <c r="FJM166"/>
      <c r="FJN166"/>
      <c r="FJO166"/>
      <c r="FJP166"/>
      <c r="FJQ166"/>
      <c r="FJR166"/>
      <c r="FJS166"/>
      <c r="FJT166"/>
      <c r="FJU166"/>
      <c r="FJV166"/>
      <c r="FJW166"/>
      <c r="FJX166"/>
      <c r="FJY166"/>
      <c r="FJZ166"/>
      <c r="FKA166"/>
      <c r="FKB166"/>
      <c r="FKC166"/>
      <c r="FKD166"/>
      <c r="FKE166"/>
      <c r="FKF166"/>
      <c r="FKG166"/>
      <c r="FKH166"/>
      <c r="FKI166"/>
      <c r="FKJ166"/>
      <c r="FKK166"/>
      <c r="FKL166"/>
      <c r="FKM166"/>
      <c r="FKN166"/>
      <c r="FKO166"/>
      <c r="FKP166"/>
      <c r="FKQ166"/>
      <c r="FKR166"/>
      <c r="FKS166"/>
      <c r="FKT166"/>
      <c r="FKU166"/>
      <c r="FKV166"/>
      <c r="FKW166"/>
      <c r="FKX166"/>
      <c r="FKY166"/>
      <c r="FKZ166"/>
      <c r="FLA166"/>
      <c r="FLB166"/>
      <c r="FLC166"/>
      <c r="FLD166"/>
      <c r="FLE166"/>
      <c r="FLF166"/>
      <c r="FLG166"/>
      <c r="FLH166"/>
      <c r="FLI166"/>
      <c r="FLJ166"/>
      <c r="FLK166"/>
      <c r="FLL166"/>
      <c r="FLM166"/>
      <c r="FLN166"/>
      <c r="FLO166"/>
      <c r="FLP166"/>
      <c r="FLQ166"/>
      <c r="FLR166"/>
      <c r="FLS166"/>
      <c r="FLT166"/>
      <c r="FLU166"/>
      <c r="FLV166"/>
      <c r="FLW166"/>
      <c r="FLX166"/>
      <c r="FLY166"/>
      <c r="FLZ166"/>
      <c r="FMA166"/>
      <c r="FMB166"/>
      <c r="FMC166"/>
      <c r="FMD166"/>
      <c r="FME166"/>
      <c r="FMF166"/>
      <c r="FMG166"/>
      <c r="FMH166"/>
      <c r="FMI166"/>
      <c r="FMJ166"/>
      <c r="FMK166"/>
      <c r="FML166"/>
      <c r="FMM166"/>
      <c r="FMN166"/>
      <c r="FMO166"/>
      <c r="FMP166"/>
      <c r="FMQ166"/>
      <c r="FMR166"/>
      <c r="FMS166"/>
      <c r="FMT166"/>
      <c r="FMU166"/>
      <c r="FMV166"/>
      <c r="FMW166"/>
      <c r="FMX166"/>
      <c r="FMY166"/>
      <c r="FMZ166"/>
      <c r="FNA166"/>
      <c r="FNB166"/>
      <c r="FNC166"/>
      <c r="FND166"/>
      <c r="FNE166"/>
      <c r="FNF166"/>
      <c r="FNG166"/>
      <c r="FNH166"/>
      <c r="FNI166"/>
      <c r="FNJ166"/>
      <c r="FNK166"/>
      <c r="FNL166"/>
      <c r="FNM166"/>
      <c r="FNN166"/>
      <c r="FNO166"/>
      <c r="FNP166"/>
      <c r="FNQ166"/>
      <c r="FNR166"/>
      <c r="FNS166"/>
      <c r="FNT166"/>
      <c r="FNU166"/>
      <c r="FNV166"/>
      <c r="FNW166"/>
      <c r="FNX166"/>
      <c r="FNY166"/>
      <c r="FNZ166"/>
      <c r="FOA166"/>
      <c r="FOB166"/>
      <c r="FOC166"/>
      <c r="FOD166"/>
      <c r="FOE166"/>
      <c r="FOF166"/>
      <c r="FOG166"/>
      <c r="FOH166"/>
      <c r="FOI166"/>
      <c r="FOJ166"/>
      <c r="FOK166"/>
      <c r="FOL166"/>
      <c r="FOM166"/>
      <c r="FON166"/>
      <c r="FOO166"/>
      <c r="FOP166"/>
      <c r="FOQ166"/>
      <c r="FOR166"/>
      <c r="FOS166"/>
      <c r="FOT166"/>
      <c r="FOU166"/>
      <c r="FOV166"/>
      <c r="FOW166"/>
      <c r="FOX166"/>
      <c r="FOY166"/>
      <c r="FOZ166"/>
      <c r="FPA166"/>
      <c r="FPB166"/>
      <c r="FPC166"/>
      <c r="FPD166"/>
      <c r="FPE166"/>
      <c r="FPF166"/>
      <c r="FPG166"/>
      <c r="FPH166"/>
      <c r="FPI166"/>
      <c r="FPJ166"/>
      <c r="FPK166"/>
      <c r="FPL166"/>
      <c r="FPM166"/>
      <c r="FPN166"/>
      <c r="FPO166"/>
      <c r="FPP166"/>
      <c r="FPQ166"/>
      <c r="FPR166"/>
      <c r="FPS166"/>
      <c r="FPT166"/>
      <c r="FPU166"/>
      <c r="FPV166"/>
      <c r="FPW166"/>
      <c r="FPX166"/>
      <c r="FPY166"/>
      <c r="FPZ166"/>
      <c r="FQA166"/>
      <c r="FQB166"/>
      <c r="FQC166"/>
      <c r="FQD166"/>
      <c r="FQE166"/>
      <c r="FQF166"/>
      <c r="FQG166"/>
      <c r="FQH166"/>
      <c r="FQI166"/>
      <c r="FQJ166"/>
      <c r="FQK166"/>
      <c r="FQL166"/>
      <c r="FQM166"/>
      <c r="FQN166"/>
      <c r="FQO166"/>
      <c r="FQP166"/>
      <c r="FQQ166"/>
      <c r="FQR166"/>
      <c r="FQS166"/>
      <c r="FQT166"/>
      <c r="FQU166"/>
      <c r="FQV166"/>
      <c r="FQW166"/>
      <c r="FQX166"/>
      <c r="FQY166"/>
      <c r="FQZ166"/>
      <c r="FRA166"/>
      <c r="FRB166"/>
      <c r="FRC166"/>
      <c r="FRD166"/>
      <c r="FRE166"/>
      <c r="FRF166"/>
      <c r="FRG166"/>
      <c r="FRH166"/>
      <c r="FRI166"/>
      <c r="FRJ166"/>
      <c r="FRK166"/>
      <c r="FRL166"/>
      <c r="FRM166"/>
      <c r="FRN166"/>
      <c r="FRO166"/>
      <c r="FRP166"/>
      <c r="FRQ166"/>
      <c r="FRR166"/>
      <c r="FRS166"/>
      <c r="FRT166"/>
      <c r="FRU166"/>
      <c r="FRV166"/>
      <c r="FRW166"/>
      <c r="FRX166"/>
      <c r="FRY166"/>
      <c r="FRZ166"/>
      <c r="FSA166"/>
      <c r="FSB166"/>
      <c r="FSC166"/>
      <c r="FSD166"/>
      <c r="FSE166"/>
      <c r="FSF166"/>
      <c r="FSG166"/>
      <c r="FSH166"/>
      <c r="FSI166"/>
      <c r="FSJ166"/>
      <c r="FSK166"/>
      <c r="FSL166"/>
      <c r="FSM166"/>
      <c r="FSN166"/>
      <c r="FSO166"/>
      <c r="FSP166"/>
      <c r="FSQ166"/>
      <c r="FSR166"/>
      <c r="FSS166"/>
      <c r="FST166"/>
      <c r="FSU166"/>
      <c r="FSV166"/>
      <c r="FSW166"/>
      <c r="FSX166"/>
      <c r="FSY166"/>
      <c r="FSZ166"/>
      <c r="FTA166"/>
      <c r="FTB166"/>
      <c r="FTC166"/>
      <c r="FTD166"/>
      <c r="FTE166"/>
      <c r="FTF166"/>
      <c r="FTG166"/>
      <c r="FTH166"/>
      <c r="FTI166"/>
      <c r="FTJ166"/>
      <c r="FTK166"/>
      <c r="FTL166"/>
      <c r="FTM166"/>
      <c r="FTN166"/>
      <c r="FTO166"/>
      <c r="FTP166"/>
      <c r="FTQ166"/>
      <c r="FTR166"/>
      <c r="FTS166"/>
      <c r="FTT166"/>
      <c r="FTU166"/>
      <c r="FTV166"/>
      <c r="FTW166"/>
      <c r="FTX166"/>
      <c r="FTY166"/>
      <c r="FTZ166"/>
      <c r="FUA166"/>
      <c r="FUB166"/>
      <c r="FUC166"/>
      <c r="FUD166"/>
      <c r="FUE166"/>
      <c r="FUF166"/>
      <c r="FUG166"/>
      <c r="FUH166"/>
      <c r="FUI166"/>
      <c r="FUJ166"/>
      <c r="FUK166"/>
      <c r="FUL166"/>
      <c r="FUM166"/>
      <c r="FUN166"/>
      <c r="FUO166"/>
      <c r="FUP166"/>
      <c r="FUQ166"/>
      <c r="FUR166"/>
      <c r="FUS166"/>
      <c r="FUT166"/>
      <c r="FUU166"/>
      <c r="FUV166"/>
      <c r="FUW166"/>
      <c r="FUX166"/>
      <c r="FUY166"/>
      <c r="FUZ166"/>
      <c r="FVA166"/>
      <c r="FVB166"/>
      <c r="FVC166"/>
      <c r="FVD166"/>
      <c r="FVE166"/>
      <c r="FVF166"/>
      <c r="FVG166"/>
      <c r="FVH166"/>
      <c r="FVI166"/>
      <c r="FVJ166"/>
      <c r="FVK166"/>
      <c r="FVL166"/>
      <c r="FVM166"/>
      <c r="FVN166"/>
      <c r="FVO166"/>
      <c r="FVP166"/>
      <c r="FVQ166"/>
      <c r="FVR166"/>
      <c r="FVS166"/>
      <c r="FVT166"/>
      <c r="FVU166"/>
      <c r="FVV166"/>
      <c r="FVW166"/>
      <c r="FVX166"/>
      <c r="FVY166"/>
      <c r="FVZ166"/>
      <c r="FWA166"/>
      <c r="FWB166"/>
      <c r="FWC166"/>
      <c r="FWD166"/>
      <c r="FWE166"/>
      <c r="FWF166"/>
      <c r="FWG166"/>
      <c r="FWH166"/>
      <c r="FWI166"/>
      <c r="FWJ166"/>
      <c r="FWK166"/>
      <c r="FWL166"/>
      <c r="FWM166"/>
      <c r="FWN166"/>
      <c r="FWO166"/>
      <c r="FWP166"/>
      <c r="FWQ166"/>
      <c r="FWR166"/>
      <c r="FWS166"/>
      <c r="FWT166"/>
      <c r="FWU166"/>
      <c r="FWV166"/>
      <c r="FWW166"/>
      <c r="FWX166"/>
      <c r="FWY166"/>
      <c r="FWZ166"/>
      <c r="FXA166"/>
      <c r="FXB166"/>
      <c r="FXC166"/>
      <c r="FXD166"/>
      <c r="FXE166"/>
      <c r="FXF166"/>
      <c r="FXG166"/>
      <c r="FXH166"/>
      <c r="FXI166"/>
      <c r="FXJ166"/>
      <c r="FXK166"/>
      <c r="FXL166"/>
      <c r="FXM166"/>
      <c r="FXN166"/>
      <c r="FXO166"/>
      <c r="FXP166"/>
      <c r="FXQ166"/>
      <c r="FXR166"/>
      <c r="FXS166"/>
      <c r="FXT166"/>
      <c r="FXU166"/>
      <c r="FXV166"/>
      <c r="FXW166"/>
      <c r="FXX166"/>
      <c r="FXY166"/>
      <c r="FXZ166"/>
      <c r="FYA166"/>
      <c r="FYB166"/>
      <c r="FYC166"/>
      <c r="FYD166"/>
      <c r="FYE166"/>
      <c r="FYF166"/>
      <c r="FYG166"/>
      <c r="FYH166"/>
      <c r="FYI166"/>
      <c r="FYJ166"/>
      <c r="FYK166"/>
      <c r="FYL166"/>
      <c r="FYM166"/>
      <c r="FYN166"/>
      <c r="FYO166"/>
      <c r="FYP166"/>
      <c r="FYQ166"/>
      <c r="FYR166"/>
      <c r="FYS166"/>
      <c r="FYT166"/>
      <c r="FYU166"/>
      <c r="FYV166"/>
      <c r="FYW166"/>
      <c r="FYX166"/>
      <c r="FYY166"/>
      <c r="FYZ166"/>
      <c r="FZA166"/>
      <c r="FZB166"/>
      <c r="FZC166"/>
      <c r="FZD166"/>
      <c r="FZE166"/>
      <c r="FZF166"/>
      <c r="FZG166"/>
      <c r="FZH166"/>
      <c r="FZI166"/>
      <c r="FZJ166"/>
      <c r="FZK166"/>
      <c r="FZL166"/>
      <c r="FZM166"/>
      <c r="FZN166"/>
      <c r="FZO166"/>
      <c r="FZP166"/>
      <c r="FZQ166"/>
      <c r="FZR166"/>
      <c r="FZS166"/>
      <c r="FZT166"/>
      <c r="FZU166"/>
      <c r="FZV166"/>
      <c r="FZW166"/>
      <c r="FZX166"/>
      <c r="FZY166"/>
      <c r="FZZ166"/>
      <c r="GAA166"/>
      <c r="GAB166"/>
      <c r="GAC166"/>
      <c r="GAD166"/>
      <c r="GAE166"/>
      <c r="GAF166"/>
      <c r="GAG166"/>
      <c r="GAH166"/>
      <c r="GAI166"/>
      <c r="GAJ166"/>
      <c r="GAK166"/>
      <c r="GAL166"/>
      <c r="GAM166"/>
      <c r="GAN166"/>
      <c r="GAO166"/>
      <c r="GAP166"/>
      <c r="GAQ166"/>
      <c r="GAR166"/>
      <c r="GAS166"/>
      <c r="GAT166"/>
      <c r="GAU166"/>
      <c r="GAV166"/>
      <c r="GAW166"/>
      <c r="GAX166"/>
      <c r="GAY166"/>
      <c r="GAZ166"/>
      <c r="GBA166"/>
      <c r="GBB166"/>
      <c r="GBC166"/>
      <c r="GBD166"/>
      <c r="GBE166"/>
      <c r="GBF166"/>
      <c r="GBG166"/>
      <c r="GBH166"/>
      <c r="GBI166"/>
      <c r="GBJ166"/>
      <c r="GBK166"/>
      <c r="GBL166"/>
      <c r="GBM166"/>
      <c r="GBN166"/>
      <c r="GBO166"/>
      <c r="GBP166"/>
      <c r="GBQ166"/>
      <c r="GBR166"/>
      <c r="GBS166"/>
      <c r="GBT166"/>
      <c r="GBU166"/>
      <c r="GBV166"/>
      <c r="GBW166"/>
      <c r="GBX166"/>
      <c r="GBY166"/>
      <c r="GBZ166"/>
      <c r="GCA166"/>
      <c r="GCB166"/>
      <c r="GCC166"/>
      <c r="GCD166"/>
      <c r="GCE166"/>
      <c r="GCF166"/>
      <c r="GCG166"/>
      <c r="GCH166"/>
      <c r="GCI166"/>
      <c r="GCJ166"/>
      <c r="GCK166"/>
      <c r="GCL166"/>
      <c r="GCM166"/>
      <c r="GCN166"/>
      <c r="GCO166"/>
      <c r="GCP166"/>
      <c r="GCQ166"/>
      <c r="GCR166"/>
      <c r="GCS166"/>
      <c r="GCT166"/>
      <c r="GCU166"/>
      <c r="GCV166"/>
      <c r="GCW166"/>
      <c r="GCX166"/>
      <c r="GCY166"/>
      <c r="GCZ166"/>
      <c r="GDA166"/>
      <c r="GDB166"/>
      <c r="GDC166"/>
      <c r="GDD166"/>
      <c r="GDE166"/>
      <c r="GDF166"/>
      <c r="GDG166"/>
      <c r="GDH166"/>
      <c r="GDI166"/>
      <c r="GDJ166"/>
      <c r="GDK166"/>
      <c r="GDL166"/>
      <c r="GDM166"/>
      <c r="GDN166"/>
      <c r="GDO166"/>
      <c r="GDP166"/>
      <c r="GDQ166"/>
      <c r="GDR166"/>
      <c r="GDS166"/>
      <c r="GDT166"/>
      <c r="GDU166"/>
      <c r="GDV166"/>
      <c r="GDW166"/>
      <c r="GDX166"/>
      <c r="GDY166"/>
      <c r="GDZ166"/>
      <c r="GEA166"/>
      <c r="GEB166"/>
      <c r="GEC166"/>
      <c r="GED166"/>
      <c r="GEE166"/>
      <c r="GEF166"/>
      <c r="GEG166"/>
      <c r="GEH166"/>
      <c r="GEI166"/>
      <c r="GEJ166"/>
      <c r="GEK166"/>
      <c r="GEL166"/>
      <c r="GEM166"/>
      <c r="GEN166"/>
      <c r="GEO166"/>
      <c r="GEP166"/>
      <c r="GEQ166"/>
      <c r="GER166"/>
      <c r="GES166"/>
      <c r="GET166"/>
      <c r="GEU166"/>
      <c r="GEV166"/>
      <c r="GEW166"/>
      <c r="GEX166"/>
      <c r="GEY166"/>
      <c r="GEZ166"/>
      <c r="GFA166"/>
      <c r="GFB166"/>
      <c r="GFC166"/>
      <c r="GFD166"/>
      <c r="GFE166"/>
      <c r="GFF166"/>
      <c r="GFG166"/>
      <c r="GFH166"/>
      <c r="GFI166"/>
      <c r="GFJ166"/>
      <c r="GFK166"/>
      <c r="GFL166"/>
      <c r="GFM166"/>
      <c r="GFN166"/>
      <c r="GFO166"/>
      <c r="GFP166"/>
      <c r="GFQ166"/>
      <c r="GFR166"/>
      <c r="GFS166"/>
      <c r="GFT166"/>
      <c r="GFU166"/>
      <c r="GFV166"/>
      <c r="GFW166"/>
      <c r="GFX166"/>
      <c r="GFY166"/>
      <c r="GFZ166"/>
      <c r="GGA166"/>
      <c r="GGB166"/>
      <c r="GGC166"/>
      <c r="GGD166"/>
      <c r="GGE166"/>
      <c r="GGF166"/>
      <c r="GGG166"/>
      <c r="GGH166"/>
      <c r="GGI166"/>
      <c r="GGJ166"/>
      <c r="GGK166"/>
      <c r="GGL166"/>
      <c r="GGM166"/>
      <c r="GGN166"/>
      <c r="GGO166"/>
      <c r="GGP166"/>
      <c r="GGQ166"/>
      <c r="GGR166"/>
      <c r="GGS166"/>
      <c r="GGT166"/>
      <c r="GGU166"/>
      <c r="GGV166"/>
      <c r="GGW166"/>
      <c r="GGX166"/>
      <c r="GGY166"/>
      <c r="GGZ166"/>
      <c r="GHA166"/>
      <c r="GHB166"/>
      <c r="GHC166"/>
      <c r="GHD166"/>
      <c r="GHE166"/>
      <c r="GHF166"/>
      <c r="GHG166"/>
      <c r="GHH166"/>
      <c r="GHI166"/>
      <c r="GHJ166"/>
      <c r="GHK166"/>
      <c r="GHL166"/>
      <c r="GHM166"/>
      <c r="GHN166"/>
      <c r="GHO166"/>
      <c r="GHP166"/>
      <c r="GHQ166"/>
      <c r="GHR166"/>
      <c r="GHS166"/>
      <c r="GHT166"/>
      <c r="GHU166"/>
      <c r="GHV166"/>
      <c r="GHW166"/>
      <c r="GHX166"/>
      <c r="GHY166"/>
      <c r="GHZ166"/>
      <c r="GIA166"/>
      <c r="GIB166"/>
      <c r="GIC166"/>
      <c r="GID166"/>
      <c r="GIE166"/>
      <c r="GIF166"/>
      <c r="GIG166"/>
      <c r="GIH166"/>
      <c r="GII166"/>
      <c r="GIJ166"/>
      <c r="GIK166"/>
      <c r="GIL166"/>
      <c r="GIM166"/>
      <c r="GIN166"/>
      <c r="GIO166"/>
      <c r="GIP166"/>
      <c r="GIQ166"/>
      <c r="GIR166"/>
      <c r="GIS166"/>
      <c r="GIT166"/>
      <c r="GIU166"/>
      <c r="GIV166"/>
      <c r="GIW166"/>
      <c r="GIX166"/>
      <c r="GIY166"/>
      <c r="GIZ166"/>
      <c r="GJA166"/>
      <c r="GJB166"/>
      <c r="GJC166"/>
      <c r="GJD166"/>
      <c r="GJE166"/>
      <c r="GJF166"/>
      <c r="GJG166"/>
      <c r="GJH166"/>
      <c r="GJI166"/>
      <c r="GJJ166"/>
      <c r="GJK166"/>
      <c r="GJL166"/>
      <c r="GJM166"/>
      <c r="GJN166"/>
      <c r="GJO166"/>
      <c r="GJP166"/>
      <c r="GJQ166"/>
      <c r="GJR166"/>
      <c r="GJS166"/>
      <c r="GJT166"/>
      <c r="GJU166"/>
      <c r="GJV166"/>
      <c r="GJW166"/>
      <c r="GJX166"/>
      <c r="GJY166"/>
      <c r="GJZ166"/>
      <c r="GKA166"/>
      <c r="GKB166"/>
      <c r="GKC166"/>
      <c r="GKD166"/>
      <c r="GKE166"/>
      <c r="GKF166"/>
      <c r="GKG166"/>
      <c r="GKH166"/>
      <c r="GKI166"/>
      <c r="GKJ166"/>
      <c r="GKK166"/>
      <c r="GKL166"/>
      <c r="GKM166"/>
      <c r="GKN166"/>
      <c r="GKO166"/>
      <c r="GKP166"/>
      <c r="GKQ166"/>
      <c r="GKR166"/>
      <c r="GKS166"/>
      <c r="GKT166"/>
      <c r="GKU166"/>
      <c r="GKV166"/>
      <c r="GKW166"/>
      <c r="GKX166"/>
      <c r="GKY166"/>
      <c r="GKZ166"/>
      <c r="GLA166"/>
      <c r="GLB166"/>
      <c r="GLC166"/>
      <c r="GLD166"/>
      <c r="GLE166"/>
      <c r="GLF166"/>
      <c r="GLG166"/>
      <c r="GLH166"/>
      <c r="GLI166"/>
      <c r="GLJ166"/>
      <c r="GLK166"/>
      <c r="GLL166"/>
      <c r="GLM166"/>
      <c r="GLN166"/>
      <c r="GLO166"/>
      <c r="GLP166"/>
      <c r="GLQ166"/>
      <c r="GLR166"/>
      <c r="GLS166"/>
      <c r="GLT166"/>
      <c r="GLU166"/>
      <c r="GLV166"/>
      <c r="GLW166"/>
      <c r="GLX166"/>
      <c r="GLY166"/>
      <c r="GLZ166"/>
      <c r="GMA166"/>
      <c r="GMB166"/>
      <c r="GMC166"/>
      <c r="GMD166"/>
      <c r="GME166"/>
      <c r="GMF166"/>
      <c r="GMG166"/>
      <c r="GMH166"/>
      <c r="GMI166"/>
      <c r="GMJ166"/>
      <c r="GMK166"/>
      <c r="GML166"/>
      <c r="GMM166"/>
      <c r="GMN166"/>
      <c r="GMO166"/>
      <c r="GMP166"/>
      <c r="GMQ166"/>
      <c r="GMR166"/>
      <c r="GMS166"/>
      <c r="GMT166"/>
      <c r="GMU166"/>
      <c r="GMV166"/>
      <c r="GMW166"/>
      <c r="GMX166"/>
      <c r="GMY166"/>
      <c r="GMZ166"/>
      <c r="GNA166"/>
      <c r="GNB166"/>
      <c r="GNC166"/>
      <c r="GND166"/>
      <c r="GNE166"/>
      <c r="GNF166"/>
      <c r="GNG166"/>
      <c r="GNH166"/>
      <c r="GNI166"/>
      <c r="GNJ166"/>
      <c r="GNK166"/>
      <c r="GNL166"/>
      <c r="GNM166"/>
      <c r="GNN166"/>
      <c r="GNO166"/>
      <c r="GNP166"/>
      <c r="GNQ166"/>
      <c r="GNR166"/>
      <c r="GNS166"/>
      <c r="GNT166"/>
      <c r="GNU166"/>
      <c r="GNV166"/>
      <c r="GNW166"/>
      <c r="GNX166"/>
      <c r="GNY166"/>
      <c r="GNZ166"/>
      <c r="GOA166"/>
      <c r="GOB166"/>
      <c r="GOC166"/>
      <c r="GOD166"/>
      <c r="GOE166"/>
      <c r="GOF166"/>
      <c r="GOG166"/>
      <c r="GOH166"/>
      <c r="GOI166"/>
      <c r="GOJ166"/>
      <c r="GOK166"/>
      <c r="GOL166"/>
      <c r="GOM166"/>
      <c r="GON166"/>
      <c r="GOO166"/>
      <c r="GOP166"/>
      <c r="GOQ166"/>
      <c r="GOR166"/>
      <c r="GOS166"/>
      <c r="GOT166"/>
      <c r="GOU166"/>
      <c r="GOV166"/>
      <c r="GOW166"/>
      <c r="GOX166"/>
      <c r="GOY166"/>
      <c r="GOZ166"/>
      <c r="GPA166"/>
      <c r="GPB166"/>
      <c r="GPC166"/>
      <c r="GPD166"/>
      <c r="GPE166"/>
      <c r="GPF166"/>
      <c r="GPG166"/>
      <c r="GPH166"/>
      <c r="GPI166"/>
      <c r="GPJ166"/>
      <c r="GPK166"/>
      <c r="GPL166"/>
      <c r="GPM166"/>
      <c r="GPN166"/>
      <c r="GPO166"/>
      <c r="GPP166"/>
      <c r="GPQ166"/>
      <c r="GPR166"/>
      <c r="GPS166"/>
      <c r="GPT166"/>
      <c r="GPU166"/>
      <c r="GPV166"/>
      <c r="GPW166"/>
      <c r="GPX166"/>
      <c r="GPY166"/>
      <c r="GPZ166"/>
      <c r="GQA166"/>
      <c r="GQB166"/>
      <c r="GQC166"/>
      <c r="GQD166"/>
      <c r="GQE166"/>
      <c r="GQF166"/>
      <c r="GQG166"/>
      <c r="GQH166"/>
      <c r="GQI166"/>
      <c r="GQJ166"/>
      <c r="GQK166"/>
      <c r="GQL166"/>
      <c r="GQM166"/>
      <c r="GQN166"/>
      <c r="GQO166"/>
      <c r="GQP166"/>
      <c r="GQQ166"/>
      <c r="GQR166"/>
      <c r="GQS166"/>
      <c r="GQT166"/>
      <c r="GQU166"/>
      <c r="GQV166"/>
      <c r="GQW166"/>
      <c r="GQX166"/>
      <c r="GQY166"/>
      <c r="GQZ166"/>
      <c r="GRA166"/>
      <c r="GRB166"/>
      <c r="GRC166"/>
      <c r="GRD166"/>
      <c r="GRE166"/>
      <c r="GRF166"/>
      <c r="GRG166"/>
      <c r="GRH166"/>
      <c r="GRI166"/>
      <c r="GRJ166"/>
      <c r="GRK166"/>
      <c r="GRL166"/>
      <c r="GRM166"/>
      <c r="GRN166"/>
      <c r="GRO166"/>
      <c r="GRP166"/>
      <c r="GRQ166"/>
      <c r="GRR166"/>
      <c r="GRS166"/>
      <c r="GRT166"/>
      <c r="GRU166"/>
      <c r="GRV166"/>
      <c r="GRW166"/>
      <c r="GRX166"/>
      <c r="GRY166"/>
      <c r="GRZ166"/>
      <c r="GSA166"/>
      <c r="GSB166"/>
      <c r="GSC166"/>
      <c r="GSD166"/>
      <c r="GSE166"/>
      <c r="GSF166"/>
      <c r="GSG166"/>
      <c r="GSH166"/>
      <c r="GSI166"/>
      <c r="GSJ166"/>
      <c r="GSK166"/>
      <c r="GSL166"/>
      <c r="GSM166"/>
      <c r="GSN166"/>
      <c r="GSO166"/>
      <c r="GSP166"/>
      <c r="GSQ166"/>
      <c r="GSR166"/>
      <c r="GSS166"/>
      <c r="GST166"/>
      <c r="GSU166"/>
      <c r="GSV166"/>
      <c r="GSW166"/>
      <c r="GSX166"/>
      <c r="GSY166"/>
      <c r="GSZ166"/>
      <c r="GTA166"/>
      <c r="GTB166"/>
      <c r="GTC166"/>
      <c r="GTD166"/>
      <c r="GTE166"/>
      <c r="GTF166"/>
      <c r="GTG166"/>
      <c r="GTH166"/>
      <c r="GTI166"/>
      <c r="GTJ166"/>
      <c r="GTK166"/>
      <c r="GTL166"/>
      <c r="GTM166"/>
      <c r="GTN166"/>
      <c r="GTO166"/>
      <c r="GTP166"/>
      <c r="GTQ166"/>
      <c r="GTR166"/>
      <c r="GTS166"/>
      <c r="GTT166"/>
      <c r="GTU166"/>
      <c r="GTV166"/>
      <c r="GTW166"/>
      <c r="GTX166"/>
      <c r="GTY166"/>
      <c r="GTZ166"/>
      <c r="GUA166"/>
      <c r="GUB166"/>
      <c r="GUC166"/>
      <c r="GUD166"/>
      <c r="GUE166"/>
      <c r="GUF166"/>
      <c r="GUG166"/>
      <c r="GUH166"/>
      <c r="GUI166"/>
      <c r="GUJ166"/>
      <c r="GUK166"/>
      <c r="GUL166"/>
      <c r="GUM166"/>
      <c r="GUN166"/>
      <c r="GUO166"/>
      <c r="GUP166"/>
      <c r="GUQ166"/>
      <c r="GUR166"/>
      <c r="GUS166"/>
      <c r="GUT166"/>
      <c r="GUU166"/>
      <c r="GUV166"/>
      <c r="GUW166"/>
      <c r="GUX166"/>
      <c r="GUY166"/>
      <c r="GUZ166"/>
      <c r="GVA166"/>
      <c r="GVB166"/>
      <c r="GVC166"/>
      <c r="GVD166"/>
      <c r="GVE166"/>
      <c r="GVF166"/>
      <c r="GVG166"/>
      <c r="GVH166"/>
      <c r="GVI166"/>
      <c r="GVJ166"/>
      <c r="GVK166"/>
      <c r="GVL166"/>
      <c r="GVM166"/>
      <c r="GVN166"/>
      <c r="GVO166"/>
      <c r="GVP166"/>
      <c r="GVQ166"/>
      <c r="GVR166"/>
      <c r="GVS166"/>
      <c r="GVT166"/>
      <c r="GVU166"/>
      <c r="GVV166"/>
      <c r="GVW166"/>
      <c r="GVX166"/>
      <c r="GVY166"/>
      <c r="GVZ166"/>
      <c r="GWA166"/>
      <c r="GWB166"/>
      <c r="GWC166"/>
      <c r="GWD166"/>
      <c r="GWE166"/>
      <c r="GWF166"/>
      <c r="GWG166"/>
      <c r="GWH166"/>
      <c r="GWI166"/>
      <c r="GWJ166"/>
      <c r="GWK166"/>
      <c r="GWL166"/>
      <c r="GWM166"/>
      <c r="GWN166"/>
      <c r="GWO166"/>
      <c r="GWP166"/>
      <c r="GWQ166"/>
      <c r="GWR166"/>
      <c r="GWS166"/>
      <c r="GWT166"/>
      <c r="GWU166"/>
      <c r="GWV166"/>
      <c r="GWW166"/>
      <c r="GWX166"/>
      <c r="GWY166"/>
      <c r="GWZ166"/>
      <c r="GXA166"/>
      <c r="GXB166"/>
      <c r="GXC166"/>
      <c r="GXD166"/>
      <c r="GXE166"/>
      <c r="GXF166"/>
      <c r="GXG166"/>
      <c r="GXH166"/>
      <c r="GXI166"/>
      <c r="GXJ166"/>
      <c r="GXK166"/>
      <c r="GXL166"/>
      <c r="GXM166"/>
      <c r="GXN166"/>
      <c r="GXO166"/>
      <c r="GXP166"/>
      <c r="GXQ166"/>
      <c r="GXR166"/>
      <c r="GXS166"/>
      <c r="GXT166"/>
      <c r="GXU166"/>
      <c r="GXV166"/>
      <c r="GXW166"/>
      <c r="GXX166"/>
      <c r="GXY166"/>
      <c r="GXZ166"/>
      <c r="GYA166"/>
      <c r="GYB166"/>
      <c r="GYC166"/>
      <c r="GYD166"/>
      <c r="GYE166"/>
      <c r="GYF166"/>
      <c r="GYG166"/>
      <c r="GYH166"/>
      <c r="GYI166"/>
      <c r="GYJ166"/>
      <c r="GYK166"/>
      <c r="GYL166"/>
      <c r="GYM166"/>
      <c r="GYN166"/>
      <c r="GYO166"/>
      <c r="GYP166"/>
      <c r="GYQ166"/>
      <c r="GYR166"/>
      <c r="GYS166"/>
      <c r="GYT166"/>
      <c r="GYU166"/>
      <c r="GYV166"/>
      <c r="GYW166"/>
      <c r="GYX166"/>
      <c r="GYY166"/>
      <c r="GYZ166"/>
      <c r="GZA166"/>
      <c r="GZB166"/>
      <c r="GZC166"/>
      <c r="GZD166"/>
      <c r="GZE166"/>
      <c r="GZF166"/>
      <c r="GZG166"/>
      <c r="GZH166"/>
      <c r="GZI166"/>
      <c r="GZJ166"/>
      <c r="GZK166"/>
      <c r="GZL166"/>
      <c r="GZM166"/>
      <c r="GZN166"/>
      <c r="GZO166"/>
      <c r="GZP166"/>
      <c r="GZQ166"/>
      <c r="GZR166"/>
      <c r="GZS166"/>
      <c r="GZT166"/>
      <c r="GZU166"/>
      <c r="GZV166"/>
      <c r="GZW166"/>
      <c r="GZX166"/>
      <c r="GZY166"/>
      <c r="GZZ166"/>
      <c r="HAA166"/>
      <c r="HAB166"/>
      <c r="HAC166"/>
      <c r="HAD166"/>
      <c r="HAE166"/>
      <c r="HAF166"/>
      <c r="HAG166"/>
      <c r="HAH166"/>
      <c r="HAI166"/>
      <c r="HAJ166"/>
      <c r="HAK166"/>
      <c r="HAL166"/>
      <c r="HAM166"/>
      <c r="HAN166"/>
      <c r="HAO166"/>
      <c r="HAP166"/>
      <c r="HAQ166"/>
      <c r="HAR166"/>
      <c r="HAS166"/>
      <c r="HAT166"/>
      <c r="HAU166"/>
      <c r="HAV166"/>
      <c r="HAW166"/>
      <c r="HAX166"/>
      <c r="HAY166"/>
      <c r="HAZ166"/>
      <c r="HBA166"/>
      <c r="HBB166"/>
      <c r="HBC166"/>
      <c r="HBD166"/>
      <c r="HBE166"/>
      <c r="HBF166"/>
      <c r="HBG166"/>
      <c r="HBH166"/>
      <c r="HBI166"/>
      <c r="HBJ166"/>
      <c r="HBK166"/>
      <c r="HBL166"/>
      <c r="HBM166"/>
      <c r="HBN166"/>
      <c r="HBO166"/>
      <c r="HBP166"/>
      <c r="HBQ166"/>
      <c r="HBR166"/>
      <c r="HBS166"/>
      <c r="HBT166"/>
      <c r="HBU166"/>
      <c r="HBV166"/>
      <c r="HBW166"/>
      <c r="HBX166"/>
      <c r="HBY166"/>
      <c r="HBZ166"/>
      <c r="HCA166"/>
      <c r="HCB166"/>
      <c r="HCC166"/>
      <c r="HCD166"/>
      <c r="HCE166"/>
      <c r="HCF166"/>
      <c r="HCG166"/>
      <c r="HCH166"/>
      <c r="HCI166"/>
      <c r="HCJ166"/>
      <c r="HCK166"/>
      <c r="HCL166"/>
      <c r="HCM166"/>
      <c r="HCN166"/>
      <c r="HCO166"/>
      <c r="HCP166"/>
      <c r="HCQ166"/>
      <c r="HCR166"/>
      <c r="HCS166"/>
      <c r="HCT166"/>
      <c r="HCU166"/>
      <c r="HCV166"/>
      <c r="HCW166"/>
      <c r="HCX166"/>
      <c r="HCY166"/>
      <c r="HCZ166"/>
      <c r="HDA166"/>
      <c r="HDB166"/>
      <c r="HDC166"/>
      <c r="HDD166"/>
      <c r="HDE166"/>
      <c r="HDF166"/>
      <c r="HDG166"/>
      <c r="HDH166"/>
      <c r="HDI166"/>
      <c r="HDJ166"/>
      <c r="HDK166"/>
      <c r="HDL166"/>
      <c r="HDM166"/>
      <c r="HDN166"/>
      <c r="HDO166"/>
      <c r="HDP166"/>
      <c r="HDQ166"/>
      <c r="HDR166"/>
      <c r="HDS166"/>
      <c r="HDT166"/>
      <c r="HDU166"/>
      <c r="HDV166"/>
      <c r="HDW166"/>
      <c r="HDX166"/>
      <c r="HDY166"/>
      <c r="HDZ166"/>
      <c r="HEA166"/>
      <c r="HEB166"/>
      <c r="HEC166"/>
      <c r="HED166"/>
      <c r="HEE166"/>
      <c r="HEF166"/>
      <c r="HEG166"/>
      <c r="HEH166"/>
      <c r="HEI166"/>
      <c r="HEJ166"/>
      <c r="HEK166"/>
      <c r="HEL166"/>
      <c r="HEM166"/>
      <c r="HEN166"/>
      <c r="HEO166"/>
      <c r="HEP166"/>
      <c r="HEQ166"/>
      <c r="HER166"/>
      <c r="HES166"/>
      <c r="HET166"/>
      <c r="HEU166"/>
      <c r="HEV166"/>
      <c r="HEW166"/>
      <c r="HEX166"/>
      <c r="HEY166"/>
      <c r="HEZ166"/>
      <c r="HFA166"/>
      <c r="HFB166"/>
      <c r="HFC166"/>
      <c r="HFD166"/>
      <c r="HFE166"/>
      <c r="HFF166"/>
      <c r="HFG166"/>
      <c r="HFH166"/>
      <c r="HFI166"/>
      <c r="HFJ166"/>
      <c r="HFK166"/>
      <c r="HFL166"/>
      <c r="HFM166"/>
      <c r="HFN166"/>
      <c r="HFO166"/>
      <c r="HFP166"/>
      <c r="HFQ166"/>
      <c r="HFR166"/>
      <c r="HFS166"/>
      <c r="HFT166"/>
      <c r="HFU166"/>
      <c r="HFV166"/>
      <c r="HFW166"/>
      <c r="HFX166"/>
      <c r="HFY166"/>
      <c r="HFZ166"/>
      <c r="HGA166"/>
      <c r="HGB166"/>
      <c r="HGC166"/>
      <c r="HGD166"/>
      <c r="HGE166"/>
      <c r="HGF166"/>
      <c r="HGG166"/>
      <c r="HGH166"/>
      <c r="HGI166"/>
      <c r="HGJ166"/>
      <c r="HGK166"/>
      <c r="HGL166"/>
      <c r="HGM166"/>
      <c r="HGN166"/>
      <c r="HGO166"/>
      <c r="HGP166"/>
      <c r="HGQ166"/>
      <c r="HGR166"/>
      <c r="HGS166"/>
      <c r="HGT166"/>
      <c r="HGU166"/>
      <c r="HGV166"/>
      <c r="HGW166"/>
      <c r="HGX166"/>
      <c r="HGY166"/>
      <c r="HGZ166"/>
      <c r="HHA166"/>
      <c r="HHB166"/>
      <c r="HHC166"/>
      <c r="HHD166"/>
      <c r="HHE166"/>
      <c r="HHF166"/>
      <c r="HHG166"/>
      <c r="HHH166"/>
      <c r="HHI166"/>
      <c r="HHJ166"/>
      <c r="HHK166"/>
      <c r="HHL166"/>
      <c r="HHM166"/>
      <c r="HHN166"/>
      <c r="HHO166"/>
      <c r="HHP166"/>
      <c r="HHQ166"/>
      <c r="HHR166"/>
      <c r="HHS166"/>
      <c r="HHT166"/>
      <c r="HHU166"/>
      <c r="HHV166"/>
      <c r="HHW166"/>
      <c r="HHX166"/>
      <c r="HHY166"/>
      <c r="HHZ166"/>
      <c r="HIA166"/>
      <c r="HIB166"/>
      <c r="HIC166"/>
      <c r="HID166"/>
      <c r="HIE166"/>
      <c r="HIF166"/>
      <c r="HIG166"/>
      <c r="HIH166"/>
      <c r="HII166"/>
      <c r="HIJ166"/>
      <c r="HIK166"/>
      <c r="HIL166"/>
      <c r="HIM166"/>
      <c r="HIN166"/>
      <c r="HIO166"/>
      <c r="HIP166"/>
      <c r="HIQ166"/>
      <c r="HIR166"/>
      <c r="HIS166"/>
      <c r="HIT166"/>
      <c r="HIU166"/>
      <c r="HIV166"/>
      <c r="HIW166"/>
      <c r="HIX166"/>
      <c r="HIY166"/>
      <c r="HIZ166"/>
      <c r="HJA166"/>
      <c r="HJB166"/>
      <c r="HJC166"/>
      <c r="HJD166"/>
      <c r="HJE166"/>
      <c r="HJF166"/>
      <c r="HJG166"/>
      <c r="HJH166"/>
      <c r="HJI166"/>
      <c r="HJJ166"/>
      <c r="HJK166"/>
      <c r="HJL166"/>
      <c r="HJM166"/>
      <c r="HJN166"/>
      <c r="HJO166"/>
      <c r="HJP166"/>
      <c r="HJQ166"/>
      <c r="HJR166"/>
      <c r="HJS166"/>
      <c r="HJT166"/>
      <c r="HJU166"/>
      <c r="HJV166"/>
      <c r="HJW166"/>
      <c r="HJX166"/>
      <c r="HJY166"/>
      <c r="HJZ166"/>
      <c r="HKA166"/>
      <c r="HKB166"/>
      <c r="HKC166"/>
      <c r="HKD166"/>
      <c r="HKE166"/>
      <c r="HKF166"/>
      <c r="HKG166"/>
      <c r="HKH166"/>
      <c r="HKI166"/>
      <c r="HKJ166"/>
      <c r="HKK166"/>
      <c r="HKL166"/>
      <c r="HKM166"/>
      <c r="HKN166"/>
      <c r="HKO166"/>
      <c r="HKP166"/>
      <c r="HKQ166"/>
      <c r="HKR166"/>
      <c r="HKS166"/>
      <c r="HKT166"/>
      <c r="HKU166"/>
      <c r="HKV166"/>
      <c r="HKW166"/>
      <c r="HKX166"/>
      <c r="HKY166"/>
      <c r="HKZ166"/>
      <c r="HLA166"/>
      <c r="HLB166"/>
      <c r="HLC166"/>
      <c r="HLD166"/>
      <c r="HLE166"/>
      <c r="HLF166"/>
      <c r="HLG166"/>
      <c r="HLH166"/>
      <c r="HLI166"/>
      <c r="HLJ166"/>
      <c r="HLK166"/>
      <c r="HLL166"/>
      <c r="HLM166"/>
      <c r="HLN166"/>
      <c r="HLO166"/>
      <c r="HLP166"/>
      <c r="HLQ166"/>
      <c r="HLR166"/>
      <c r="HLS166"/>
      <c r="HLT166"/>
      <c r="HLU166"/>
      <c r="HLV166"/>
      <c r="HLW166"/>
      <c r="HLX166"/>
      <c r="HLY166"/>
      <c r="HLZ166"/>
      <c r="HMA166"/>
      <c r="HMB166"/>
      <c r="HMC166"/>
      <c r="HMD166"/>
      <c r="HME166"/>
      <c r="HMF166"/>
      <c r="HMG166"/>
      <c r="HMH166"/>
      <c r="HMI166"/>
      <c r="HMJ166"/>
      <c r="HMK166"/>
      <c r="HML166"/>
      <c r="HMM166"/>
      <c r="HMN166"/>
      <c r="HMO166"/>
      <c r="HMP166"/>
      <c r="HMQ166"/>
      <c r="HMR166"/>
      <c r="HMS166"/>
      <c r="HMT166"/>
      <c r="HMU166"/>
      <c r="HMV166"/>
      <c r="HMW166"/>
      <c r="HMX166"/>
      <c r="HMY166"/>
      <c r="HMZ166"/>
      <c r="HNA166"/>
      <c r="HNB166"/>
      <c r="HNC166"/>
      <c r="HND166"/>
      <c r="HNE166"/>
      <c r="HNF166"/>
      <c r="HNG166"/>
      <c r="HNH166"/>
      <c r="HNI166"/>
      <c r="HNJ166"/>
      <c r="HNK166"/>
      <c r="HNL166"/>
      <c r="HNM166"/>
      <c r="HNN166"/>
      <c r="HNO166"/>
      <c r="HNP166"/>
      <c r="HNQ166"/>
      <c r="HNR166"/>
      <c r="HNS166"/>
      <c r="HNT166"/>
      <c r="HNU166"/>
      <c r="HNV166"/>
      <c r="HNW166"/>
      <c r="HNX166"/>
      <c r="HNY166"/>
      <c r="HNZ166"/>
      <c r="HOA166"/>
      <c r="HOB166"/>
      <c r="HOC166"/>
      <c r="HOD166"/>
      <c r="HOE166"/>
      <c r="HOF166"/>
      <c r="HOG166"/>
      <c r="HOH166"/>
      <c r="HOI166"/>
      <c r="HOJ166"/>
      <c r="HOK166"/>
      <c r="HOL166"/>
      <c r="HOM166"/>
      <c r="HON166"/>
      <c r="HOO166"/>
      <c r="HOP166"/>
      <c r="HOQ166"/>
      <c r="HOR166"/>
      <c r="HOS166"/>
      <c r="HOT166"/>
      <c r="HOU166"/>
      <c r="HOV166"/>
      <c r="HOW166"/>
      <c r="HOX166"/>
      <c r="HOY166"/>
      <c r="HOZ166"/>
      <c r="HPA166"/>
      <c r="HPB166"/>
      <c r="HPC166"/>
      <c r="HPD166"/>
      <c r="HPE166"/>
      <c r="HPF166"/>
      <c r="HPG166"/>
      <c r="HPH166"/>
      <c r="HPI166"/>
      <c r="HPJ166"/>
      <c r="HPK166"/>
      <c r="HPL166"/>
      <c r="HPM166"/>
      <c r="HPN166"/>
      <c r="HPO166"/>
      <c r="HPP166"/>
      <c r="HPQ166"/>
      <c r="HPR166"/>
      <c r="HPS166"/>
      <c r="HPT166"/>
      <c r="HPU166"/>
      <c r="HPV166"/>
      <c r="HPW166"/>
      <c r="HPX166"/>
      <c r="HPY166"/>
      <c r="HPZ166"/>
      <c r="HQA166"/>
      <c r="HQB166"/>
      <c r="HQC166"/>
      <c r="HQD166"/>
      <c r="HQE166"/>
      <c r="HQF166"/>
      <c r="HQG166"/>
      <c r="HQH166"/>
      <c r="HQI166"/>
      <c r="HQJ166"/>
      <c r="HQK166"/>
      <c r="HQL166"/>
      <c r="HQM166"/>
      <c r="HQN166"/>
      <c r="HQO166"/>
      <c r="HQP166"/>
      <c r="HQQ166"/>
      <c r="HQR166"/>
      <c r="HQS166"/>
      <c r="HQT166"/>
      <c r="HQU166"/>
      <c r="HQV166"/>
      <c r="HQW166"/>
      <c r="HQX166"/>
      <c r="HQY166"/>
      <c r="HQZ166"/>
      <c r="HRA166"/>
      <c r="HRB166"/>
      <c r="HRC166"/>
      <c r="HRD166"/>
      <c r="HRE166"/>
      <c r="HRF166"/>
      <c r="HRG166"/>
      <c r="HRH166"/>
      <c r="HRI166"/>
      <c r="HRJ166"/>
      <c r="HRK166"/>
      <c r="HRL166"/>
      <c r="HRM166"/>
      <c r="HRN166"/>
      <c r="HRO166"/>
      <c r="HRP166"/>
      <c r="HRQ166"/>
      <c r="HRR166"/>
      <c r="HRS166"/>
      <c r="HRT166"/>
      <c r="HRU166"/>
      <c r="HRV166"/>
      <c r="HRW166"/>
      <c r="HRX166"/>
      <c r="HRY166"/>
      <c r="HRZ166"/>
      <c r="HSA166"/>
      <c r="HSB166"/>
      <c r="HSC166"/>
      <c r="HSD166"/>
      <c r="HSE166"/>
      <c r="HSF166"/>
      <c r="HSG166"/>
      <c r="HSH166"/>
      <c r="HSI166"/>
      <c r="HSJ166"/>
      <c r="HSK166"/>
      <c r="HSL166"/>
      <c r="HSM166"/>
      <c r="HSN166"/>
      <c r="HSO166"/>
      <c r="HSP166"/>
      <c r="HSQ166"/>
      <c r="HSR166"/>
      <c r="HSS166"/>
      <c r="HST166"/>
      <c r="HSU166"/>
      <c r="HSV166"/>
      <c r="HSW166"/>
      <c r="HSX166"/>
      <c r="HSY166"/>
      <c r="HSZ166"/>
      <c r="HTA166"/>
      <c r="HTB166"/>
      <c r="HTC166"/>
      <c r="HTD166"/>
      <c r="HTE166"/>
      <c r="HTF166"/>
      <c r="HTG166"/>
      <c r="HTH166"/>
      <c r="HTI166"/>
      <c r="HTJ166"/>
      <c r="HTK166"/>
      <c r="HTL166"/>
      <c r="HTM166"/>
      <c r="HTN166"/>
      <c r="HTO166"/>
      <c r="HTP166"/>
      <c r="HTQ166"/>
      <c r="HTR166"/>
      <c r="HTS166"/>
      <c r="HTT166"/>
      <c r="HTU166"/>
      <c r="HTV166"/>
      <c r="HTW166"/>
      <c r="HTX166"/>
      <c r="HTY166"/>
      <c r="HTZ166"/>
      <c r="HUA166"/>
      <c r="HUB166"/>
      <c r="HUC166"/>
      <c r="HUD166"/>
      <c r="HUE166"/>
      <c r="HUF166"/>
      <c r="HUG166"/>
      <c r="HUH166"/>
      <c r="HUI166"/>
      <c r="HUJ166"/>
      <c r="HUK166"/>
      <c r="HUL166"/>
      <c r="HUM166"/>
      <c r="HUN166"/>
      <c r="HUO166"/>
      <c r="HUP166"/>
      <c r="HUQ166"/>
      <c r="HUR166"/>
      <c r="HUS166"/>
      <c r="HUT166"/>
      <c r="HUU166"/>
      <c r="HUV166"/>
      <c r="HUW166"/>
      <c r="HUX166"/>
      <c r="HUY166"/>
      <c r="HUZ166"/>
      <c r="HVA166"/>
      <c r="HVB166"/>
      <c r="HVC166"/>
      <c r="HVD166"/>
      <c r="HVE166"/>
      <c r="HVF166"/>
      <c r="HVG166"/>
      <c r="HVH166"/>
      <c r="HVI166"/>
      <c r="HVJ166"/>
      <c r="HVK166"/>
      <c r="HVL166"/>
      <c r="HVM166"/>
      <c r="HVN166"/>
      <c r="HVO166"/>
      <c r="HVP166"/>
      <c r="HVQ166"/>
      <c r="HVR166"/>
      <c r="HVS166"/>
      <c r="HVT166"/>
      <c r="HVU166"/>
      <c r="HVV166"/>
      <c r="HVW166"/>
      <c r="HVX166"/>
      <c r="HVY166"/>
      <c r="HVZ166"/>
      <c r="HWA166"/>
      <c r="HWB166"/>
      <c r="HWC166"/>
      <c r="HWD166"/>
      <c r="HWE166"/>
      <c r="HWF166"/>
      <c r="HWG166"/>
      <c r="HWH166"/>
      <c r="HWI166"/>
      <c r="HWJ166"/>
      <c r="HWK166"/>
      <c r="HWL166"/>
      <c r="HWM166"/>
      <c r="HWN166"/>
      <c r="HWO166"/>
      <c r="HWP166"/>
      <c r="HWQ166"/>
      <c r="HWR166"/>
      <c r="HWS166"/>
      <c r="HWT166"/>
      <c r="HWU166"/>
      <c r="HWV166"/>
      <c r="HWW166"/>
      <c r="HWX166"/>
      <c r="HWY166"/>
      <c r="HWZ166"/>
      <c r="HXA166"/>
      <c r="HXB166"/>
      <c r="HXC166"/>
      <c r="HXD166"/>
      <c r="HXE166"/>
      <c r="HXF166"/>
      <c r="HXG166"/>
      <c r="HXH166"/>
      <c r="HXI166"/>
      <c r="HXJ166"/>
      <c r="HXK166"/>
      <c r="HXL166"/>
      <c r="HXM166"/>
      <c r="HXN166"/>
      <c r="HXO166"/>
      <c r="HXP166"/>
      <c r="HXQ166"/>
      <c r="HXR166"/>
      <c r="HXS166"/>
      <c r="HXT166"/>
      <c r="HXU166"/>
      <c r="HXV166"/>
      <c r="HXW166"/>
      <c r="HXX166"/>
      <c r="HXY166"/>
      <c r="HXZ166"/>
      <c r="HYA166"/>
      <c r="HYB166"/>
      <c r="HYC166"/>
      <c r="HYD166"/>
      <c r="HYE166"/>
      <c r="HYF166"/>
      <c r="HYG166"/>
      <c r="HYH166"/>
      <c r="HYI166"/>
      <c r="HYJ166"/>
      <c r="HYK166"/>
      <c r="HYL166"/>
      <c r="HYM166"/>
      <c r="HYN166"/>
      <c r="HYO166"/>
      <c r="HYP166"/>
      <c r="HYQ166"/>
      <c r="HYR166"/>
      <c r="HYS166"/>
      <c r="HYT166"/>
      <c r="HYU166"/>
      <c r="HYV166"/>
      <c r="HYW166"/>
      <c r="HYX166"/>
      <c r="HYY166"/>
      <c r="HYZ166"/>
      <c r="HZA166"/>
      <c r="HZB166"/>
      <c r="HZC166"/>
      <c r="HZD166"/>
      <c r="HZE166"/>
      <c r="HZF166"/>
      <c r="HZG166"/>
      <c r="HZH166"/>
      <c r="HZI166"/>
      <c r="HZJ166"/>
      <c r="HZK166"/>
      <c r="HZL166"/>
      <c r="HZM166"/>
      <c r="HZN166"/>
      <c r="HZO166"/>
      <c r="HZP166"/>
      <c r="HZQ166"/>
      <c r="HZR166"/>
      <c r="HZS166"/>
      <c r="HZT166"/>
      <c r="HZU166"/>
      <c r="HZV166"/>
      <c r="HZW166"/>
      <c r="HZX166"/>
      <c r="HZY166"/>
      <c r="HZZ166"/>
      <c r="IAA166"/>
      <c r="IAB166"/>
      <c r="IAC166"/>
      <c r="IAD166"/>
      <c r="IAE166"/>
      <c r="IAF166"/>
      <c r="IAG166"/>
      <c r="IAH166"/>
      <c r="IAI166"/>
      <c r="IAJ166"/>
      <c r="IAK166"/>
      <c r="IAL166"/>
      <c r="IAM166"/>
      <c r="IAN166"/>
      <c r="IAO166"/>
      <c r="IAP166"/>
      <c r="IAQ166"/>
      <c r="IAR166"/>
      <c r="IAS166"/>
      <c r="IAT166"/>
      <c r="IAU166"/>
      <c r="IAV166"/>
      <c r="IAW166"/>
      <c r="IAX166"/>
      <c r="IAY166"/>
      <c r="IAZ166"/>
      <c r="IBA166"/>
      <c r="IBB166"/>
      <c r="IBC166"/>
      <c r="IBD166"/>
      <c r="IBE166"/>
      <c r="IBF166"/>
      <c r="IBG166"/>
      <c r="IBH166"/>
      <c r="IBI166"/>
      <c r="IBJ166"/>
      <c r="IBK166"/>
      <c r="IBL166"/>
      <c r="IBM166"/>
      <c r="IBN166"/>
      <c r="IBO166"/>
      <c r="IBP166"/>
      <c r="IBQ166"/>
      <c r="IBR166"/>
      <c r="IBS166"/>
      <c r="IBT166"/>
      <c r="IBU166"/>
      <c r="IBV166"/>
      <c r="IBW166"/>
      <c r="IBX166"/>
      <c r="IBY166"/>
      <c r="IBZ166"/>
      <c r="ICA166"/>
      <c r="ICB166"/>
      <c r="ICC166"/>
      <c r="ICD166"/>
      <c r="ICE166"/>
      <c r="ICF166"/>
      <c r="ICG166"/>
      <c r="ICH166"/>
      <c r="ICI166"/>
      <c r="ICJ166"/>
      <c r="ICK166"/>
      <c r="ICL166"/>
      <c r="ICM166"/>
      <c r="ICN166"/>
      <c r="ICO166"/>
      <c r="ICP166"/>
      <c r="ICQ166"/>
      <c r="ICR166"/>
      <c r="ICS166"/>
      <c r="ICT166"/>
      <c r="ICU166"/>
      <c r="ICV166"/>
      <c r="ICW166"/>
      <c r="ICX166"/>
      <c r="ICY166"/>
      <c r="ICZ166"/>
      <c r="IDA166"/>
      <c r="IDB166"/>
      <c r="IDC166"/>
      <c r="IDD166"/>
      <c r="IDE166"/>
      <c r="IDF166"/>
      <c r="IDG166"/>
      <c r="IDH166"/>
      <c r="IDI166"/>
      <c r="IDJ166"/>
      <c r="IDK166"/>
      <c r="IDL166"/>
      <c r="IDM166"/>
      <c r="IDN166"/>
      <c r="IDO166"/>
      <c r="IDP166"/>
      <c r="IDQ166"/>
      <c r="IDR166"/>
      <c r="IDS166"/>
      <c r="IDT166"/>
      <c r="IDU166"/>
      <c r="IDV166"/>
      <c r="IDW166"/>
      <c r="IDX166"/>
      <c r="IDY166"/>
      <c r="IDZ166"/>
      <c r="IEA166"/>
      <c r="IEB166"/>
      <c r="IEC166"/>
      <c r="IED166"/>
      <c r="IEE166"/>
      <c r="IEF166"/>
      <c r="IEG166"/>
      <c r="IEH166"/>
      <c r="IEI166"/>
      <c r="IEJ166"/>
      <c r="IEK166"/>
      <c r="IEL166"/>
      <c r="IEM166"/>
      <c r="IEN166"/>
      <c r="IEO166"/>
      <c r="IEP166"/>
      <c r="IEQ166"/>
      <c r="IER166"/>
      <c r="IES166"/>
      <c r="IET166"/>
      <c r="IEU166"/>
      <c r="IEV166"/>
      <c r="IEW166"/>
      <c r="IEX166"/>
      <c r="IEY166"/>
      <c r="IEZ166"/>
      <c r="IFA166"/>
      <c r="IFB166"/>
      <c r="IFC166"/>
      <c r="IFD166"/>
      <c r="IFE166"/>
      <c r="IFF166"/>
      <c r="IFG166"/>
      <c r="IFH166"/>
      <c r="IFI166"/>
      <c r="IFJ166"/>
      <c r="IFK166"/>
      <c r="IFL166"/>
      <c r="IFM166"/>
      <c r="IFN166"/>
      <c r="IFO166"/>
      <c r="IFP166"/>
      <c r="IFQ166"/>
      <c r="IFR166"/>
      <c r="IFS166"/>
      <c r="IFT166"/>
      <c r="IFU166"/>
      <c r="IFV166"/>
      <c r="IFW166"/>
      <c r="IFX166"/>
      <c r="IFY166"/>
      <c r="IFZ166"/>
      <c r="IGA166"/>
      <c r="IGB166"/>
      <c r="IGC166"/>
      <c r="IGD166"/>
      <c r="IGE166"/>
      <c r="IGF166"/>
      <c r="IGG166"/>
      <c r="IGH166"/>
      <c r="IGI166"/>
      <c r="IGJ166"/>
      <c r="IGK166"/>
      <c r="IGL166"/>
      <c r="IGM166"/>
      <c r="IGN166"/>
      <c r="IGO166"/>
      <c r="IGP166"/>
      <c r="IGQ166"/>
      <c r="IGR166"/>
      <c r="IGS166"/>
      <c r="IGT166"/>
      <c r="IGU166"/>
      <c r="IGV166"/>
      <c r="IGW166"/>
      <c r="IGX166"/>
      <c r="IGY166"/>
      <c r="IGZ166"/>
      <c r="IHA166"/>
      <c r="IHB166"/>
      <c r="IHC166"/>
      <c r="IHD166"/>
      <c r="IHE166"/>
      <c r="IHF166"/>
      <c r="IHG166"/>
      <c r="IHH166"/>
      <c r="IHI166"/>
      <c r="IHJ166"/>
      <c r="IHK166"/>
      <c r="IHL166"/>
      <c r="IHM166"/>
      <c r="IHN166"/>
      <c r="IHO166"/>
      <c r="IHP166"/>
      <c r="IHQ166"/>
      <c r="IHR166"/>
      <c r="IHS166"/>
      <c r="IHT166"/>
      <c r="IHU166"/>
      <c r="IHV166"/>
      <c r="IHW166"/>
      <c r="IHX166"/>
      <c r="IHY166"/>
      <c r="IHZ166"/>
      <c r="IIA166"/>
      <c r="IIB166"/>
      <c r="IIC166"/>
      <c r="IID166"/>
      <c r="IIE166"/>
      <c r="IIF166"/>
      <c r="IIG166"/>
      <c r="IIH166"/>
      <c r="III166"/>
      <c r="IIJ166"/>
      <c r="IIK166"/>
      <c r="IIL166"/>
      <c r="IIM166"/>
      <c r="IIN166"/>
      <c r="IIO166"/>
      <c r="IIP166"/>
      <c r="IIQ166"/>
      <c r="IIR166"/>
      <c r="IIS166"/>
      <c r="IIT166"/>
      <c r="IIU166"/>
      <c r="IIV166"/>
      <c r="IIW166"/>
      <c r="IIX166"/>
      <c r="IIY166"/>
      <c r="IIZ166"/>
      <c r="IJA166"/>
      <c r="IJB166"/>
      <c r="IJC166"/>
      <c r="IJD166"/>
      <c r="IJE166"/>
      <c r="IJF166"/>
      <c r="IJG166"/>
      <c r="IJH166"/>
      <c r="IJI166"/>
      <c r="IJJ166"/>
      <c r="IJK166"/>
      <c r="IJL166"/>
      <c r="IJM166"/>
      <c r="IJN166"/>
      <c r="IJO166"/>
      <c r="IJP166"/>
      <c r="IJQ166"/>
      <c r="IJR166"/>
      <c r="IJS166"/>
      <c r="IJT166"/>
      <c r="IJU166"/>
      <c r="IJV166"/>
      <c r="IJW166"/>
      <c r="IJX166"/>
      <c r="IJY166"/>
      <c r="IJZ166"/>
      <c r="IKA166"/>
      <c r="IKB166"/>
      <c r="IKC166"/>
      <c r="IKD166"/>
      <c r="IKE166"/>
      <c r="IKF166"/>
      <c r="IKG166"/>
      <c r="IKH166"/>
      <c r="IKI166"/>
      <c r="IKJ166"/>
      <c r="IKK166"/>
      <c r="IKL166"/>
      <c r="IKM166"/>
      <c r="IKN166"/>
      <c r="IKO166"/>
      <c r="IKP166"/>
      <c r="IKQ166"/>
      <c r="IKR166"/>
      <c r="IKS166"/>
      <c r="IKT166"/>
      <c r="IKU166"/>
      <c r="IKV166"/>
      <c r="IKW166"/>
      <c r="IKX166"/>
      <c r="IKY166"/>
      <c r="IKZ166"/>
      <c r="ILA166"/>
      <c r="ILB166"/>
      <c r="ILC166"/>
      <c r="ILD166"/>
      <c r="ILE166"/>
      <c r="ILF166"/>
      <c r="ILG166"/>
      <c r="ILH166"/>
      <c r="ILI166"/>
      <c r="ILJ166"/>
      <c r="ILK166"/>
      <c r="ILL166"/>
      <c r="ILM166"/>
      <c r="ILN166"/>
      <c r="ILO166"/>
      <c r="ILP166"/>
      <c r="ILQ166"/>
      <c r="ILR166"/>
      <c r="ILS166"/>
      <c r="ILT166"/>
      <c r="ILU166"/>
      <c r="ILV166"/>
      <c r="ILW166"/>
      <c r="ILX166"/>
      <c r="ILY166"/>
      <c r="ILZ166"/>
      <c r="IMA166"/>
      <c r="IMB166"/>
      <c r="IMC166"/>
      <c r="IMD166"/>
      <c r="IME166"/>
      <c r="IMF166"/>
      <c r="IMG166"/>
      <c r="IMH166"/>
      <c r="IMI166"/>
      <c r="IMJ166"/>
      <c r="IMK166"/>
      <c r="IML166"/>
      <c r="IMM166"/>
      <c r="IMN166"/>
      <c r="IMO166"/>
      <c r="IMP166"/>
      <c r="IMQ166"/>
      <c r="IMR166"/>
      <c r="IMS166"/>
      <c r="IMT166"/>
      <c r="IMU166"/>
      <c r="IMV166"/>
      <c r="IMW166"/>
      <c r="IMX166"/>
      <c r="IMY166"/>
      <c r="IMZ166"/>
      <c r="INA166"/>
      <c r="INB166"/>
      <c r="INC166"/>
      <c r="IND166"/>
      <c r="INE166"/>
      <c r="INF166"/>
      <c r="ING166"/>
      <c r="INH166"/>
      <c r="INI166"/>
      <c r="INJ166"/>
      <c r="INK166"/>
      <c r="INL166"/>
      <c r="INM166"/>
      <c r="INN166"/>
      <c r="INO166"/>
      <c r="INP166"/>
      <c r="INQ166"/>
      <c r="INR166"/>
      <c r="INS166"/>
      <c r="INT166"/>
      <c r="INU166"/>
      <c r="INV166"/>
      <c r="INW166"/>
      <c r="INX166"/>
      <c r="INY166"/>
      <c r="INZ166"/>
      <c r="IOA166"/>
      <c r="IOB166"/>
      <c r="IOC166"/>
      <c r="IOD166"/>
      <c r="IOE166"/>
      <c r="IOF166"/>
      <c r="IOG166"/>
      <c r="IOH166"/>
      <c r="IOI166"/>
      <c r="IOJ166"/>
      <c r="IOK166"/>
      <c r="IOL166"/>
      <c r="IOM166"/>
      <c r="ION166"/>
      <c r="IOO166"/>
      <c r="IOP166"/>
      <c r="IOQ166"/>
      <c r="IOR166"/>
      <c r="IOS166"/>
      <c r="IOT166"/>
      <c r="IOU166"/>
      <c r="IOV166"/>
      <c r="IOW166"/>
      <c r="IOX166"/>
      <c r="IOY166"/>
      <c r="IOZ166"/>
      <c r="IPA166"/>
      <c r="IPB166"/>
      <c r="IPC166"/>
      <c r="IPD166"/>
      <c r="IPE166"/>
      <c r="IPF166"/>
      <c r="IPG166"/>
      <c r="IPH166"/>
      <c r="IPI166"/>
      <c r="IPJ166"/>
      <c r="IPK166"/>
      <c r="IPL166"/>
      <c r="IPM166"/>
      <c r="IPN166"/>
      <c r="IPO166"/>
      <c r="IPP166"/>
      <c r="IPQ166"/>
      <c r="IPR166"/>
      <c r="IPS166"/>
      <c r="IPT166"/>
      <c r="IPU166"/>
      <c r="IPV166"/>
      <c r="IPW166"/>
      <c r="IPX166"/>
      <c r="IPY166"/>
      <c r="IPZ166"/>
      <c r="IQA166"/>
      <c r="IQB166"/>
      <c r="IQC166"/>
      <c r="IQD166"/>
      <c r="IQE166"/>
      <c r="IQF166"/>
      <c r="IQG166"/>
      <c r="IQH166"/>
      <c r="IQI166"/>
      <c r="IQJ166"/>
      <c r="IQK166"/>
      <c r="IQL166"/>
      <c r="IQM166"/>
      <c r="IQN166"/>
      <c r="IQO166"/>
      <c r="IQP166"/>
      <c r="IQQ166"/>
      <c r="IQR166"/>
      <c r="IQS166"/>
      <c r="IQT166"/>
      <c r="IQU166"/>
      <c r="IQV166"/>
      <c r="IQW166"/>
      <c r="IQX166"/>
      <c r="IQY166"/>
      <c r="IQZ166"/>
      <c r="IRA166"/>
      <c r="IRB166"/>
      <c r="IRC166"/>
      <c r="IRD166"/>
      <c r="IRE166"/>
      <c r="IRF166"/>
      <c r="IRG166"/>
      <c r="IRH166"/>
      <c r="IRI166"/>
      <c r="IRJ166"/>
      <c r="IRK166"/>
      <c r="IRL166"/>
      <c r="IRM166"/>
      <c r="IRN166"/>
      <c r="IRO166"/>
      <c r="IRP166"/>
      <c r="IRQ166"/>
      <c r="IRR166"/>
      <c r="IRS166"/>
      <c r="IRT166"/>
      <c r="IRU166"/>
      <c r="IRV166"/>
      <c r="IRW166"/>
      <c r="IRX166"/>
      <c r="IRY166"/>
      <c r="IRZ166"/>
      <c r="ISA166"/>
      <c r="ISB166"/>
      <c r="ISC166"/>
      <c r="ISD166"/>
      <c r="ISE166"/>
      <c r="ISF166"/>
      <c r="ISG166"/>
      <c r="ISH166"/>
      <c r="ISI166"/>
      <c r="ISJ166"/>
      <c r="ISK166"/>
      <c r="ISL166"/>
      <c r="ISM166"/>
      <c r="ISN166"/>
      <c r="ISO166"/>
      <c r="ISP166"/>
      <c r="ISQ166"/>
      <c r="ISR166"/>
      <c r="ISS166"/>
      <c r="IST166"/>
      <c r="ISU166"/>
      <c r="ISV166"/>
      <c r="ISW166"/>
      <c r="ISX166"/>
      <c r="ISY166"/>
      <c r="ISZ166"/>
      <c r="ITA166"/>
      <c r="ITB166"/>
      <c r="ITC166"/>
      <c r="ITD166"/>
      <c r="ITE166"/>
      <c r="ITF166"/>
      <c r="ITG166"/>
      <c r="ITH166"/>
      <c r="ITI166"/>
      <c r="ITJ166"/>
      <c r="ITK166"/>
      <c r="ITL166"/>
      <c r="ITM166"/>
      <c r="ITN166"/>
      <c r="ITO166"/>
      <c r="ITP166"/>
      <c r="ITQ166"/>
      <c r="ITR166"/>
      <c r="ITS166"/>
      <c r="ITT166"/>
      <c r="ITU166"/>
      <c r="ITV166"/>
      <c r="ITW166"/>
      <c r="ITX166"/>
      <c r="ITY166"/>
      <c r="ITZ166"/>
      <c r="IUA166"/>
      <c r="IUB166"/>
      <c r="IUC166"/>
      <c r="IUD166"/>
      <c r="IUE166"/>
      <c r="IUF166"/>
      <c r="IUG166"/>
      <c r="IUH166"/>
      <c r="IUI166"/>
      <c r="IUJ166"/>
      <c r="IUK166"/>
      <c r="IUL166"/>
      <c r="IUM166"/>
      <c r="IUN166"/>
      <c r="IUO166"/>
      <c r="IUP166"/>
      <c r="IUQ166"/>
      <c r="IUR166"/>
      <c r="IUS166"/>
      <c r="IUT166"/>
      <c r="IUU166"/>
      <c r="IUV166"/>
      <c r="IUW166"/>
      <c r="IUX166"/>
      <c r="IUY166"/>
      <c r="IUZ166"/>
      <c r="IVA166"/>
      <c r="IVB166"/>
      <c r="IVC166"/>
      <c r="IVD166"/>
      <c r="IVE166"/>
      <c r="IVF166"/>
      <c r="IVG166"/>
      <c r="IVH166"/>
      <c r="IVI166"/>
      <c r="IVJ166"/>
      <c r="IVK166"/>
      <c r="IVL166"/>
      <c r="IVM166"/>
      <c r="IVN166"/>
      <c r="IVO166"/>
      <c r="IVP166"/>
      <c r="IVQ166"/>
      <c r="IVR166"/>
      <c r="IVS166"/>
      <c r="IVT166"/>
      <c r="IVU166"/>
      <c r="IVV166"/>
      <c r="IVW166"/>
      <c r="IVX166"/>
      <c r="IVY166"/>
      <c r="IVZ166"/>
      <c r="IWA166"/>
      <c r="IWB166"/>
      <c r="IWC166"/>
      <c r="IWD166"/>
      <c r="IWE166"/>
      <c r="IWF166"/>
      <c r="IWG166"/>
      <c r="IWH166"/>
      <c r="IWI166"/>
      <c r="IWJ166"/>
      <c r="IWK166"/>
      <c r="IWL166"/>
      <c r="IWM166"/>
      <c r="IWN166"/>
      <c r="IWO166"/>
      <c r="IWP166"/>
      <c r="IWQ166"/>
      <c r="IWR166"/>
      <c r="IWS166"/>
      <c r="IWT166"/>
      <c r="IWU166"/>
      <c r="IWV166"/>
      <c r="IWW166"/>
      <c r="IWX166"/>
      <c r="IWY166"/>
      <c r="IWZ166"/>
      <c r="IXA166"/>
      <c r="IXB166"/>
      <c r="IXC166"/>
      <c r="IXD166"/>
      <c r="IXE166"/>
      <c r="IXF166"/>
      <c r="IXG166"/>
      <c r="IXH166"/>
      <c r="IXI166"/>
      <c r="IXJ166"/>
      <c r="IXK166"/>
      <c r="IXL166"/>
      <c r="IXM166"/>
      <c r="IXN166"/>
      <c r="IXO166"/>
      <c r="IXP166"/>
      <c r="IXQ166"/>
      <c r="IXR166"/>
      <c r="IXS166"/>
      <c r="IXT166"/>
      <c r="IXU166"/>
      <c r="IXV166"/>
      <c r="IXW166"/>
      <c r="IXX166"/>
      <c r="IXY166"/>
      <c r="IXZ166"/>
      <c r="IYA166"/>
      <c r="IYB166"/>
      <c r="IYC166"/>
      <c r="IYD166"/>
      <c r="IYE166"/>
      <c r="IYF166"/>
      <c r="IYG166"/>
      <c r="IYH166"/>
      <c r="IYI166"/>
      <c r="IYJ166"/>
      <c r="IYK166"/>
      <c r="IYL166"/>
      <c r="IYM166"/>
      <c r="IYN166"/>
      <c r="IYO166"/>
      <c r="IYP166"/>
      <c r="IYQ166"/>
      <c r="IYR166"/>
      <c r="IYS166"/>
      <c r="IYT166"/>
      <c r="IYU166"/>
      <c r="IYV166"/>
      <c r="IYW166"/>
      <c r="IYX166"/>
      <c r="IYY166"/>
      <c r="IYZ166"/>
      <c r="IZA166"/>
      <c r="IZB166"/>
      <c r="IZC166"/>
      <c r="IZD166"/>
      <c r="IZE166"/>
      <c r="IZF166"/>
      <c r="IZG166"/>
      <c r="IZH166"/>
      <c r="IZI166"/>
      <c r="IZJ166"/>
      <c r="IZK166"/>
      <c r="IZL166"/>
      <c r="IZM166"/>
      <c r="IZN166"/>
      <c r="IZO166"/>
      <c r="IZP166"/>
      <c r="IZQ166"/>
      <c r="IZR166"/>
      <c r="IZS166"/>
      <c r="IZT166"/>
      <c r="IZU166"/>
      <c r="IZV166"/>
      <c r="IZW166"/>
      <c r="IZX166"/>
      <c r="IZY166"/>
      <c r="IZZ166"/>
      <c r="JAA166"/>
      <c r="JAB166"/>
      <c r="JAC166"/>
      <c r="JAD166"/>
      <c r="JAE166"/>
      <c r="JAF166"/>
      <c r="JAG166"/>
      <c r="JAH166"/>
      <c r="JAI166"/>
      <c r="JAJ166"/>
      <c r="JAK166"/>
      <c r="JAL166"/>
      <c r="JAM166"/>
      <c r="JAN166"/>
      <c r="JAO166"/>
      <c r="JAP166"/>
      <c r="JAQ166"/>
      <c r="JAR166"/>
      <c r="JAS166"/>
      <c r="JAT166"/>
      <c r="JAU166"/>
      <c r="JAV166"/>
      <c r="JAW166"/>
      <c r="JAX166"/>
      <c r="JAY166"/>
      <c r="JAZ166"/>
      <c r="JBA166"/>
      <c r="JBB166"/>
      <c r="JBC166"/>
      <c r="JBD166"/>
      <c r="JBE166"/>
      <c r="JBF166"/>
      <c r="JBG166"/>
      <c r="JBH166"/>
      <c r="JBI166"/>
      <c r="JBJ166"/>
      <c r="JBK166"/>
      <c r="JBL166"/>
      <c r="JBM166"/>
      <c r="JBN166"/>
      <c r="JBO166"/>
      <c r="JBP166"/>
      <c r="JBQ166"/>
      <c r="JBR166"/>
      <c r="JBS166"/>
      <c r="JBT166"/>
      <c r="JBU166"/>
      <c r="JBV166"/>
      <c r="JBW166"/>
      <c r="JBX166"/>
      <c r="JBY166"/>
      <c r="JBZ166"/>
      <c r="JCA166"/>
      <c r="JCB166"/>
      <c r="JCC166"/>
      <c r="JCD166"/>
      <c r="JCE166"/>
      <c r="JCF166"/>
      <c r="JCG166"/>
      <c r="JCH166"/>
      <c r="JCI166"/>
      <c r="JCJ166"/>
      <c r="JCK166"/>
      <c r="JCL166"/>
      <c r="JCM166"/>
      <c r="JCN166"/>
      <c r="JCO166"/>
      <c r="JCP166"/>
      <c r="JCQ166"/>
      <c r="JCR166"/>
      <c r="JCS166"/>
      <c r="JCT166"/>
      <c r="JCU166"/>
      <c r="JCV166"/>
      <c r="JCW166"/>
      <c r="JCX166"/>
      <c r="JCY166"/>
      <c r="JCZ166"/>
      <c r="JDA166"/>
      <c r="JDB166"/>
      <c r="JDC166"/>
      <c r="JDD166"/>
      <c r="JDE166"/>
      <c r="JDF166"/>
      <c r="JDG166"/>
      <c r="JDH166"/>
      <c r="JDI166"/>
      <c r="JDJ166"/>
      <c r="JDK166"/>
      <c r="JDL166"/>
      <c r="JDM166"/>
      <c r="JDN166"/>
      <c r="JDO166"/>
      <c r="JDP166"/>
      <c r="JDQ166"/>
      <c r="JDR166"/>
      <c r="JDS166"/>
      <c r="JDT166"/>
      <c r="JDU166"/>
      <c r="JDV166"/>
      <c r="JDW166"/>
      <c r="JDX166"/>
      <c r="JDY166"/>
      <c r="JDZ166"/>
      <c r="JEA166"/>
      <c r="JEB166"/>
      <c r="JEC166"/>
      <c r="JED166"/>
      <c r="JEE166"/>
      <c r="JEF166"/>
      <c r="JEG166"/>
      <c r="JEH166"/>
      <c r="JEI166"/>
      <c r="JEJ166"/>
      <c r="JEK166"/>
      <c r="JEL166"/>
      <c r="JEM166"/>
      <c r="JEN166"/>
      <c r="JEO166"/>
      <c r="JEP166"/>
      <c r="JEQ166"/>
      <c r="JER166"/>
      <c r="JES166"/>
      <c r="JET166"/>
      <c r="JEU166"/>
      <c r="JEV166"/>
      <c r="JEW166"/>
      <c r="JEX166"/>
      <c r="JEY166"/>
      <c r="JEZ166"/>
      <c r="JFA166"/>
      <c r="JFB166"/>
      <c r="JFC166"/>
      <c r="JFD166"/>
      <c r="JFE166"/>
      <c r="JFF166"/>
      <c r="JFG166"/>
      <c r="JFH166"/>
      <c r="JFI166"/>
      <c r="JFJ166"/>
      <c r="JFK166"/>
      <c r="JFL166"/>
      <c r="JFM166"/>
      <c r="JFN166"/>
      <c r="JFO166"/>
      <c r="JFP166"/>
      <c r="JFQ166"/>
      <c r="JFR166"/>
      <c r="JFS166"/>
      <c r="JFT166"/>
      <c r="JFU166"/>
      <c r="JFV166"/>
      <c r="JFW166"/>
      <c r="JFX166"/>
      <c r="JFY166"/>
      <c r="JFZ166"/>
      <c r="JGA166"/>
      <c r="JGB166"/>
      <c r="JGC166"/>
      <c r="JGD166"/>
      <c r="JGE166"/>
      <c r="JGF166"/>
      <c r="JGG166"/>
      <c r="JGH166"/>
      <c r="JGI166"/>
      <c r="JGJ166"/>
      <c r="JGK166"/>
      <c r="JGL166"/>
      <c r="JGM166"/>
      <c r="JGN166"/>
      <c r="JGO166"/>
      <c r="JGP166"/>
      <c r="JGQ166"/>
      <c r="JGR166"/>
      <c r="JGS166"/>
      <c r="JGT166"/>
      <c r="JGU166"/>
      <c r="JGV166"/>
      <c r="JGW166"/>
      <c r="JGX166"/>
      <c r="JGY166"/>
      <c r="JGZ166"/>
      <c r="JHA166"/>
      <c r="JHB166"/>
      <c r="JHC166"/>
      <c r="JHD166"/>
      <c r="JHE166"/>
      <c r="JHF166"/>
      <c r="JHG166"/>
      <c r="JHH166"/>
      <c r="JHI166"/>
      <c r="JHJ166"/>
      <c r="JHK166"/>
      <c r="JHL166"/>
      <c r="JHM166"/>
      <c r="JHN166"/>
      <c r="JHO166"/>
      <c r="JHP166"/>
      <c r="JHQ166"/>
      <c r="JHR166"/>
      <c r="JHS166"/>
      <c r="JHT166"/>
      <c r="JHU166"/>
      <c r="JHV166"/>
      <c r="JHW166"/>
      <c r="JHX166"/>
      <c r="JHY166"/>
      <c r="JHZ166"/>
      <c r="JIA166"/>
      <c r="JIB166"/>
      <c r="JIC166"/>
      <c r="JID166"/>
      <c r="JIE166"/>
      <c r="JIF166"/>
      <c r="JIG166"/>
      <c r="JIH166"/>
      <c r="JII166"/>
      <c r="JIJ166"/>
      <c r="JIK166"/>
      <c r="JIL166"/>
      <c r="JIM166"/>
      <c r="JIN166"/>
      <c r="JIO166"/>
      <c r="JIP166"/>
      <c r="JIQ166"/>
      <c r="JIR166"/>
      <c r="JIS166"/>
      <c r="JIT166"/>
      <c r="JIU166"/>
      <c r="JIV166"/>
      <c r="JIW166"/>
      <c r="JIX166"/>
      <c r="JIY166"/>
      <c r="JIZ166"/>
      <c r="JJA166"/>
      <c r="JJB166"/>
      <c r="JJC166"/>
      <c r="JJD166"/>
      <c r="JJE166"/>
      <c r="JJF166"/>
      <c r="JJG166"/>
      <c r="JJH166"/>
      <c r="JJI166"/>
      <c r="JJJ166"/>
      <c r="JJK166"/>
      <c r="JJL166"/>
      <c r="JJM166"/>
      <c r="JJN166"/>
      <c r="JJO166"/>
      <c r="JJP166"/>
      <c r="JJQ166"/>
      <c r="JJR166"/>
      <c r="JJS166"/>
      <c r="JJT166"/>
      <c r="JJU166"/>
      <c r="JJV166"/>
      <c r="JJW166"/>
      <c r="JJX166"/>
      <c r="JJY166"/>
      <c r="JJZ166"/>
      <c r="JKA166"/>
      <c r="JKB166"/>
      <c r="JKC166"/>
      <c r="JKD166"/>
      <c r="JKE166"/>
      <c r="JKF166"/>
      <c r="JKG166"/>
      <c r="JKH166"/>
      <c r="JKI166"/>
      <c r="JKJ166"/>
      <c r="JKK166"/>
      <c r="JKL166"/>
      <c r="JKM166"/>
      <c r="JKN166"/>
      <c r="JKO166"/>
      <c r="JKP166"/>
      <c r="JKQ166"/>
      <c r="JKR166"/>
      <c r="JKS166"/>
      <c r="JKT166"/>
      <c r="JKU166"/>
      <c r="JKV166"/>
      <c r="JKW166"/>
      <c r="JKX166"/>
      <c r="JKY166"/>
      <c r="JKZ166"/>
      <c r="JLA166"/>
      <c r="JLB166"/>
      <c r="JLC166"/>
      <c r="JLD166"/>
      <c r="JLE166"/>
      <c r="JLF166"/>
      <c r="JLG166"/>
      <c r="JLH166"/>
      <c r="JLI166"/>
      <c r="JLJ166"/>
      <c r="JLK166"/>
      <c r="JLL166"/>
      <c r="JLM166"/>
      <c r="JLN166"/>
      <c r="JLO166"/>
      <c r="JLP166"/>
      <c r="JLQ166"/>
      <c r="JLR166"/>
      <c r="JLS166"/>
      <c r="JLT166"/>
      <c r="JLU166"/>
      <c r="JLV166"/>
      <c r="JLW166"/>
      <c r="JLX166"/>
      <c r="JLY166"/>
      <c r="JLZ166"/>
      <c r="JMA166"/>
      <c r="JMB166"/>
      <c r="JMC166"/>
      <c r="JMD166"/>
      <c r="JME166"/>
      <c r="JMF166"/>
      <c r="JMG166"/>
      <c r="JMH166"/>
      <c r="JMI166"/>
      <c r="JMJ166"/>
      <c r="JMK166"/>
      <c r="JML166"/>
      <c r="JMM166"/>
      <c r="JMN166"/>
      <c r="JMO166"/>
      <c r="JMP166"/>
      <c r="JMQ166"/>
      <c r="JMR166"/>
      <c r="JMS166"/>
      <c r="JMT166"/>
      <c r="JMU166"/>
      <c r="JMV166"/>
      <c r="JMW166"/>
      <c r="JMX166"/>
      <c r="JMY166"/>
      <c r="JMZ166"/>
      <c r="JNA166"/>
      <c r="JNB166"/>
      <c r="JNC166"/>
      <c r="JND166"/>
      <c r="JNE166"/>
      <c r="JNF166"/>
      <c r="JNG166"/>
      <c r="JNH166"/>
      <c r="JNI166"/>
      <c r="JNJ166"/>
      <c r="JNK166"/>
      <c r="JNL166"/>
      <c r="JNM166"/>
      <c r="JNN166"/>
      <c r="JNO166"/>
      <c r="JNP166"/>
      <c r="JNQ166"/>
      <c r="JNR166"/>
      <c r="JNS166"/>
      <c r="JNT166"/>
      <c r="JNU166"/>
      <c r="JNV166"/>
      <c r="JNW166"/>
      <c r="JNX166"/>
      <c r="JNY166"/>
      <c r="JNZ166"/>
      <c r="JOA166"/>
      <c r="JOB166"/>
      <c r="JOC166"/>
      <c r="JOD166"/>
      <c r="JOE166"/>
      <c r="JOF166"/>
      <c r="JOG166"/>
      <c r="JOH166"/>
      <c r="JOI166"/>
      <c r="JOJ166"/>
      <c r="JOK166"/>
      <c r="JOL166"/>
      <c r="JOM166"/>
      <c r="JON166"/>
      <c r="JOO166"/>
      <c r="JOP166"/>
      <c r="JOQ166"/>
      <c r="JOR166"/>
      <c r="JOS166"/>
      <c r="JOT166"/>
      <c r="JOU166"/>
      <c r="JOV166"/>
      <c r="JOW166"/>
      <c r="JOX166"/>
      <c r="JOY166"/>
      <c r="JOZ166"/>
      <c r="JPA166"/>
      <c r="JPB166"/>
      <c r="JPC166"/>
      <c r="JPD166"/>
      <c r="JPE166"/>
      <c r="JPF166"/>
      <c r="JPG166"/>
      <c r="JPH166"/>
      <c r="JPI166"/>
      <c r="JPJ166"/>
      <c r="JPK166"/>
      <c r="JPL166"/>
      <c r="JPM166"/>
      <c r="JPN166"/>
      <c r="JPO166"/>
      <c r="JPP166"/>
      <c r="JPQ166"/>
      <c r="JPR166"/>
      <c r="JPS166"/>
      <c r="JPT166"/>
      <c r="JPU166"/>
      <c r="JPV166"/>
      <c r="JPW166"/>
      <c r="JPX166"/>
      <c r="JPY166"/>
      <c r="JPZ166"/>
      <c r="JQA166"/>
      <c r="JQB166"/>
      <c r="JQC166"/>
      <c r="JQD166"/>
      <c r="JQE166"/>
      <c r="JQF166"/>
      <c r="JQG166"/>
      <c r="JQH166"/>
      <c r="JQI166"/>
      <c r="JQJ166"/>
      <c r="JQK166"/>
      <c r="JQL166"/>
      <c r="JQM166"/>
      <c r="JQN166"/>
      <c r="JQO166"/>
      <c r="JQP166"/>
      <c r="JQQ166"/>
      <c r="JQR166"/>
      <c r="JQS166"/>
      <c r="JQT166"/>
      <c r="JQU166"/>
      <c r="JQV166"/>
      <c r="JQW166"/>
      <c r="JQX166"/>
      <c r="JQY166"/>
      <c r="JQZ166"/>
      <c r="JRA166"/>
      <c r="JRB166"/>
      <c r="JRC166"/>
      <c r="JRD166"/>
      <c r="JRE166"/>
      <c r="JRF166"/>
      <c r="JRG166"/>
      <c r="JRH166"/>
      <c r="JRI166"/>
      <c r="JRJ166"/>
      <c r="JRK166"/>
      <c r="JRL166"/>
      <c r="JRM166"/>
      <c r="JRN166"/>
      <c r="JRO166"/>
      <c r="JRP166"/>
      <c r="JRQ166"/>
      <c r="JRR166"/>
      <c r="JRS166"/>
      <c r="JRT166"/>
      <c r="JRU166"/>
      <c r="JRV166"/>
      <c r="JRW166"/>
      <c r="JRX166"/>
      <c r="JRY166"/>
      <c r="JRZ166"/>
      <c r="JSA166"/>
      <c r="JSB166"/>
      <c r="JSC166"/>
      <c r="JSD166"/>
      <c r="JSE166"/>
      <c r="JSF166"/>
      <c r="JSG166"/>
      <c r="JSH166"/>
      <c r="JSI166"/>
      <c r="JSJ166"/>
      <c r="JSK166"/>
      <c r="JSL166"/>
      <c r="JSM166"/>
      <c r="JSN166"/>
      <c r="JSO166"/>
      <c r="JSP166"/>
      <c r="JSQ166"/>
      <c r="JSR166"/>
      <c r="JSS166"/>
      <c r="JST166"/>
      <c r="JSU166"/>
      <c r="JSV166"/>
      <c r="JSW166"/>
      <c r="JSX166"/>
      <c r="JSY166"/>
      <c r="JSZ166"/>
      <c r="JTA166"/>
      <c r="JTB166"/>
      <c r="JTC166"/>
      <c r="JTD166"/>
      <c r="JTE166"/>
      <c r="JTF166"/>
      <c r="JTG166"/>
      <c r="JTH166"/>
      <c r="JTI166"/>
      <c r="JTJ166"/>
      <c r="JTK166"/>
      <c r="JTL166"/>
      <c r="JTM166"/>
      <c r="JTN166"/>
      <c r="JTO166"/>
      <c r="JTP166"/>
      <c r="JTQ166"/>
      <c r="JTR166"/>
      <c r="JTS166"/>
      <c r="JTT166"/>
      <c r="JTU166"/>
      <c r="JTV166"/>
      <c r="JTW166"/>
      <c r="JTX166"/>
      <c r="JTY166"/>
      <c r="JTZ166"/>
      <c r="JUA166"/>
      <c r="JUB166"/>
      <c r="JUC166"/>
      <c r="JUD166"/>
      <c r="JUE166"/>
      <c r="JUF166"/>
      <c r="JUG166"/>
      <c r="JUH166"/>
      <c r="JUI166"/>
      <c r="JUJ166"/>
      <c r="JUK166"/>
      <c r="JUL166"/>
      <c r="JUM166"/>
      <c r="JUN166"/>
      <c r="JUO166"/>
      <c r="JUP166"/>
      <c r="JUQ166"/>
      <c r="JUR166"/>
      <c r="JUS166"/>
      <c r="JUT166"/>
      <c r="JUU166"/>
      <c r="JUV166"/>
      <c r="JUW166"/>
      <c r="JUX166"/>
      <c r="JUY166"/>
      <c r="JUZ166"/>
      <c r="JVA166"/>
      <c r="JVB166"/>
      <c r="JVC166"/>
      <c r="JVD166"/>
      <c r="JVE166"/>
      <c r="JVF166"/>
      <c r="JVG166"/>
      <c r="JVH166"/>
      <c r="JVI166"/>
      <c r="JVJ166"/>
      <c r="JVK166"/>
      <c r="JVL166"/>
      <c r="JVM166"/>
      <c r="JVN166"/>
      <c r="JVO166"/>
      <c r="JVP166"/>
      <c r="JVQ166"/>
      <c r="JVR166"/>
      <c r="JVS166"/>
      <c r="JVT166"/>
      <c r="JVU166"/>
      <c r="JVV166"/>
      <c r="JVW166"/>
      <c r="JVX166"/>
      <c r="JVY166"/>
      <c r="JVZ166"/>
      <c r="JWA166"/>
      <c r="JWB166"/>
      <c r="JWC166"/>
      <c r="JWD166"/>
      <c r="JWE166"/>
      <c r="JWF166"/>
      <c r="JWG166"/>
      <c r="JWH166"/>
      <c r="JWI166"/>
      <c r="JWJ166"/>
      <c r="JWK166"/>
      <c r="JWL166"/>
      <c r="JWM166"/>
      <c r="JWN166"/>
      <c r="JWO166"/>
      <c r="JWP166"/>
      <c r="JWQ166"/>
      <c r="JWR166"/>
      <c r="JWS166"/>
      <c r="JWT166"/>
      <c r="JWU166"/>
      <c r="JWV166"/>
      <c r="JWW166"/>
      <c r="JWX166"/>
      <c r="JWY166"/>
      <c r="JWZ166"/>
      <c r="JXA166"/>
      <c r="JXB166"/>
      <c r="JXC166"/>
      <c r="JXD166"/>
      <c r="JXE166"/>
      <c r="JXF166"/>
      <c r="JXG166"/>
      <c r="JXH166"/>
      <c r="JXI166"/>
      <c r="JXJ166"/>
      <c r="JXK166"/>
      <c r="JXL166"/>
      <c r="JXM166"/>
      <c r="JXN166"/>
      <c r="JXO166"/>
      <c r="JXP166"/>
      <c r="JXQ166"/>
      <c r="JXR166"/>
      <c r="JXS166"/>
      <c r="JXT166"/>
      <c r="JXU166"/>
      <c r="JXV166"/>
      <c r="JXW166"/>
      <c r="JXX166"/>
      <c r="JXY166"/>
      <c r="JXZ166"/>
      <c r="JYA166"/>
      <c r="JYB166"/>
      <c r="JYC166"/>
      <c r="JYD166"/>
      <c r="JYE166"/>
      <c r="JYF166"/>
      <c r="JYG166"/>
      <c r="JYH166"/>
      <c r="JYI166"/>
      <c r="JYJ166"/>
      <c r="JYK166"/>
      <c r="JYL166"/>
      <c r="JYM166"/>
      <c r="JYN166"/>
      <c r="JYO166"/>
      <c r="JYP166"/>
      <c r="JYQ166"/>
      <c r="JYR166"/>
      <c r="JYS166"/>
      <c r="JYT166"/>
      <c r="JYU166"/>
      <c r="JYV166"/>
      <c r="JYW166"/>
      <c r="JYX166"/>
      <c r="JYY166"/>
      <c r="JYZ166"/>
      <c r="JZA166"/>
      <c r="JZB166"/>
      <c r="JZC166"/>
      <c r="JZD166"/>
      <c r="JZE166"/>
      <c r="JZF166"/>
      <c r="JZG166"/>
      <c r="JZH166"/>
      <c r="JZI166"/>
      <c r="JZJ166"/>
      <c r="JZK166"/>
      <c r="JZL166"/>
      <c r="JZM166"/>
      <c r="JZN166"/>
      <c r="JZO166"/>
      <c r="JZP166"/>
      <c r="JZQ166"/>
      <c r="JZR166"/>
      <c r="JZS166"/>
      <c r="JZT166"/>
      <c r="JZU166"/>
      <c r="JZV166"/>
      <c r="JZW166"/>
      <c r="JZX166"/>
      <c r="JZY166"/>
      <c r="JZZ166"/>
      <c r="KAA166"/>
      <c r="KAB166"/>
      <c r="KAC166"/>
      <c r="KAD166"/>
      <c r="KAE166"/>
      <c r="KAF166"/>
      <c r="KAG166"/>
      <c r="KAH166"/>
      <c r="KAI166"/>
      <c r="KAJ166"/>
      <c r="KAK166"/>
      <c r="KAL166"/>
      <c r="KAM166"/>
      <c r="KAN166"/>
      <c r="KAO166"/>
      <c r="KAP166"/>
      <c r="KAQ166"/>
      <c r="KAR166"/>
      <c r="KAS166"/>
      <c r="KAT166"/>
      <c r="KAU166"/>
      <c r="KAV166"/>
      <c r="KAW166"/>
      <c r="KAX166"/>
      <c r="KAY166"/>
      <c r="KAZ166"/>
      <c r="KBA166"/>
      <c r="KBB166"/>
      <c r="KBC166"/>
      <c r="KBD166"/>
      <c r="KBE166"/>
      <c r="KBF166"/>
      <c r="KBG166"/>
      <c r="KBH166"/>
      <c r="KBI166"/>
      <c r="KBJ166"/>
      <c r="KBK166"/>
      <c r="KBL166"/>
      <c r="KBM166"/>
      <c r="KBN166"/>
      <c r="KBO166"/>
      <c r="KBP166"/>
      <c r="KBQ166"/>
      <c r="KBR166"/>
      <c r="KBS166"/>
      <c r="KBT166"/>
      <c r="KBU166"/>
      <c r="KBV166"/>
      <c r="KBW166"/>
      <c r="KBX166"/>
      <c r="KBY166"/>
      <c r="KBZ166"/>
      <c r="KCA166"/>
      <c r="KCB166"/>
      <c r="KCC166"/>
      <c r="KCD166"/>
      <c r="KCE166"/>
      <c r="KCF166"/>
      <c r="KCG166"/>
      <c r="KCH166"/>
      <c r="KCI166"/>
      <c r="KCJ166"/>
      <c r="KCK166"/>
      <c r="KCL166"/>
      <c r="KCM166"/>
      <c r="KCN166"/>
      <c r="KCO166"/>
      <c r="KCP166"/>
      <c r="KCQ166"/>
      <c r="KCR166"/>
      <c r="KCS166"/>
      <c r="KCT166"/>
      <c r="KCU166"/>
      <c r="KCV166"/>
      <c r="KCW166"/>
      <c r="KCX166"/>
      <c r="KCY166"/>
      <c r="KCZ166"/>
      <c r="KDA166"/>
      <c r="KDB166"/>
      <c r="KDC166"/>
      <c r="KDD166"/>
      <c r="KDE166"/>
      <c r="KDF166"/>
      <c r="KDG166"/>
      <c r="KDH166"/>
      <c r="KDI166"/>
      <c r="KDJ166"/>
      <c r="KDK166"/>
      <c r="KDL166"/>
      <c r="KDM166"/>
      <c r="KDN166"/>
      <c r="KDO166"/>
      <c r="KDP166"/>
      <c r="KDQ166"/>
      <c r="KDR166"/>
      <c r="KDS166"/>
      <c r="KDT166"/>
      <c r="KDU166"/>
      <c r="KDV166"/>
      <c r="KDW166"/>
      <c r="KDX166"/>
      <c r="KDY166"/>
      <c r="KDZ166"/>
      <c r="KEA166"/>
      <c r="KEB166"/>
      <c r="KEC166"/>
      <c r="KED166"/>
      <c r="KEE166"/>
      <c r="KEF166"/>
      <c r="KEG166"/>
      <c r="KEH166"/>
      <c r="KEI166"/>
      <c r="KEJ166"/>
      <c r="KEK166"/>
      <c r="KEL166"/>
      <c r="KEM166"/>
      <c r="KEN166"/>
      <c r="KEO166"/>
      <c r="KEP166"/>
      <c r="KEQ166"/>
      <c r="KER166"/>
      <c r="KES166"/>
      <c r="KET166"/>
      <c r="KEU166"/>
      <c r="KEV166"/>
      <c r="KEW166"/>
      <c r="KEX166"/>
      <c r="KEY166"/>
      <c r="KEZ166"/>
      <c r="KFA166"/>
      <c r="KFB166"/>
      <c r="KFC166"/>
      <c r="KFD166"/>
      <c r="KFE166"/>
      <c r="KFF166"/>
      <c r="KFG166"/>
      <c r="KFH166"/>
      <c r="KFI166"/>
      <c r="KFJ166"/>
      <c r="KFK166"/>
      <c r="KFL166"/>
      <c r="KFM166"/>
      <c r="KFN166"/>
      <c r="KFO166"/>
      <c r="KFP166"/>
      <c r="KFQ166"/>
      <c r="KFR166"/>
      <c r="KFS166"/>
      <c r="KFT166"/>
      <c r="KFU166"/>
      <c r="KFV166"/>
      <c r="KFW166"/>
      <c r="KFX166"/>
      <c r="KFY166"/>
      <c r="KFZ166"/>
      <c r="KGA166"/>
      <c r="KGB166"/>
      <c r="KGC166"/>
      <c r="KGD166"/>
      <c r="KGE166"/>
      <c r="KGF166"/>
      <c r="KGG166"/>
      <c r="KGH166"/>
      <c r="KGI166"/>
      <c r="KGJ166"/>
      <c r="KGK166"/>
      <c r="KGL166"/>
      <c r="KGM166"/>
      <c r="KGN166"/>
      <c r="KGO166"/>
      <c r="KGP166"/>
      <c r="KGQ166"/>
      <c r="KGR166"/>
      <c r="KGS166"/>
      <c r="KGT166"/>
      <c r="KGU166"/>
      <c r="KGV166"/>
      <c r="KGW166"/>
      <c r="KGX166"/>
      <c r="KGY166"/>
      <c r="KGZ166"/>
      <c r="KHA166"/>
      <c r="KHB166"/>
      <c r="KHC166"/>
      <c r="KHD166"/>
      <c r="KHE166"/>
      <c r="KHF166"/>
      <c r="KHG166"/>
      <c r="KHH166"/>
      <c r="KHI166"/>
      <c r="KHJ166"/>
      <c r="KHK166"/>
      <c r="KHL166"/>
      <c r="KHM166"/>
      <c r="KHN166"/>
      <c r="KHO166"/>
      <c r="KHP166"/>
      <c r="KHQ166"/>
      <c r="KHR166"/>
      <c r="KHS166"/>
      <c r="KHT166"/>
      <c r="KHU166"/>
      <c r="KHV166"/>
      <c r="KHW166"/>
      <c r="KHX166"/>
      <c r="KHY166"/>
      <c r="KHZ166"/>
      <c r="KIA166"/>
      <c r="KIB166"/>
      <c r="KIC166"/>
      <c r="KID166"/>
      <c r="KIE166"/>
      <c r="KIF166"/>
      <c r="KIG166"/>
      <c r="KIH166"/>
      <c r="KII166"/>
      <c r="KIJ166"/>
      <c r="KIK166"/>
      <c r="KIL166"/>
      <c r="KIM166"/>
      <c r="KIN166"/>
      <c r="KIO166"/>
      <c r="KIP166"/>
      <c r="KIQ166"/>
      <c r="KIR166"/>
      <c r="KIS166"/>
      <c r="KIT166"/>
      <c r="KIU166"/>
      <c r="KIV166"/>
      <c r="KIW166"/>
      <c r="KIX166"/>
      <c r="KIY166"/>
      <c r="KIZ166"/>
      <c r="KJA166"/>
      <c r="KJB166"/>
      <c r="KJC166"/>
      <c r="KJD166"/>
      <c r="KJE166"/>
      <c r="KJF166"/>
      <c r="KJG166"/>
      <c r="KJH166"/>
      <c r="KJI166"/>
      <c r="KJJ166"/>
      <c r="KJK166"/>
      <c r="KJL166"/>
      <c r="KJM166"/>
      <c r="KJN166"/>
      <c r="KJO166"/>
      <c r="KJP166"/>
      <c r="KJQ166"/>
      <c r="KJR166"/>
      <c r="KJS166"/>
      <c r="KJT166"/>
      <c r="KJU166"/>
      <c r="KJV166"/>
      <c r="KJW166"/>
      <c r="KJX166"/>
      <c r="KJY166"/>
      <c r="KJZ166"/>
      <c r="KKA166"/>
      <c r="KKB166"/>
      <c r="KKC166"/>
      <c r="KKD166"/>
      <c r="KKE166"/>
      <c r="KKF166"/>
      <c r="KKG166"/>
      <c r="KKH166"/>
      <c r="KKI166"/>
      <c r="KKJ166"/>
      <c r="KKK166"/>
      <c r="KKL166"/>
      <c r="KKM166"/>
      <c r="KKN166"/>
      <c r="KKO166"/>
      <c r="KKP166"/>
      <c r="KKQ166"/>
      <c r="KKR166"/>
      <c r="KKS166"/>
      <c r="KKT166"/>
      <c r="KKU166"/>
      <c r="KKV166"/>
      <c r="KKW166"/>
      <c r="KKX166"/>
      <c r="KKY166"/>
      <c r="KKZ166"/>
      <c r="KLA166"/>
      <c r="KLB166"/>
      <c r="KLC166"/>
      <c r="KLD166"/>
      <c r="KLE166"/>
      <c r="KLF166"/>
      <c r="KLG166"/>
      <c r="KLH166"/>
      <c r="KLI166"/>
      <c r="KLJ166"/>
      <c r="KLK166"/>
      <c r="KLL166"/>
      <c r="KLM166"/>
      <c r="KLN166"/>
      <c r="KLO166"/>
      <c r="KLP166"/>
      <c r="KLQ166"/>
      <c r="KLR166"/>
      <c r="KLS166"/>
      <c r="KLT166"/>
      <c r="KLU166"/>
      <c r="KLV166"/>
      <c r="KLW166"/>
      <c r="KLX166"/>
      <c r="KLY166"/>
      <c r="KLZ166"/>
      <c r="KMA166"/>
      <c r="KMB166"/>
      <c r="KMC166"/>
      <c r="KMD166"/>
      <c r="KME166"/>
      <c r="KMF166"/>
      <c r="KMG166"/>
      <c r="KMH166"/>
      <c r="KMI166"/>
      <c r="KMJ166"/>
      <c r="KMK166"/>
      <c r="KML166"/>
      <c r="KMM166"/>
      <c r="KMN166"/>
      <c r="KMO166"/>
      <c r="KMP166"/>
      <c r="KMQ166"/>
      <c r="KMR166"/>
      <c r="KMS166"/>
      <c r="KMT166"/>
      <c r="KMU166"/>
      <c r="KMV166"/>
      <c r="KMW166"/>
      <c r="KMX166"/>
      <c r="KMY166"/>
      <c r="KMZ166"/>
      <c r="KNA166"/>
      <c r="KNB166"/>
      <c r="KNC166"/>
      <c r="KND166"/>
      <c r="KNE166"/>
      <c r="KNF166"/>
      <c r="KNG166"/>
      <c r="KNH166"/>
      <c r="KNI166"/>
      <c r="KNJ166"/>
      <c r="KNK166"/>
      <c r="KNL166"/>
      <c r="KNM166"/>
      <c r="KNN166"/>
      <c r="KNO166"/>
      <c r="KNP166"/>
      <c r="KNQ166"/>
      <c r="KNR166"/>
      <c r="KNS166"/>
      <c r="KNT166"/>
      <c r="KNU166"/>
      <c r="KNV166"/>
      <c r="KNW166"/>
      <c r="KNX166"/>
      <c r="KNY166"/>
      <c r="KNZ166"/>
      <c r="KOA166"/>
      <c r="KOB166"/>
      <c r="KOC166"/>
      <c r="KOD166"/>
      <c r="KOE166"/>
      <c r="KOF166"/>
      <c r="KOG166"/>
      <c r="KOH166"/>
      <c r="KOI166"/>
      <c r="KOJ166"/>
      <c r="KOK166"/>
      <c r="KOL166"/>
      <c r="KOM166"/>
      <c r="KON166"/>
      <c r="KOO166"/>
      <c r="KOP166"/>
      <c r="KOQ166"/>
      <c r="KOR166"/>
      <c r="KOS166"/>
      <c r="KOT166"/>
      <c r="KOU166"/>
      <c r="KOV166"/>
      <c r="KOW166"/>
      <c r="KOX166"/>
      <c r="KOY166"/>
      <c r="KOZ166"/>
      <c r="KPA166"/>
      <c r="KPB166"/>
      <c r="KPC166"/>
      <c r="KPD166"/>
      <c r="KPE166"/>
      <c r="KPF166"/>
      <c r="KPG166"/>
      <c r="KPH166"/>
      <c r="KPI166"/>
      <c r="KPJ166"/>
      <c r="KPK166"/>
      <c r="KPL166"/>
      <c r="KPM166"/>
      <c r="KPN166"/>
      <c r="KPO166"/>
      <c r="KPP166"/>
      <c r="KPQ166"/>
      <c r="KPR166"/>
      <c r="KPS166"/>
      <c r="KPT166"/>
      <c r="KPU166"/>
      <c r="KPV166"/>
      <c r="KPW166"/>
      <c r="KPX166"/>
      <c r="KPY166"/>
      <c r="KPZ166"/>
      <c r="KQA166"/>
      <c r="KQB166"/>
      <c r="KQC166"/>
      <c r="KQD166"/>
      <c r="KQE166"/>
      <c r="KQF166"/>
      <c r="KQG166"/>
      <c r="KQH166"/>
      <c r="KQI166"/>
      <c r="KQJ166"/>
      <c r="KQK166"/>
      <c r="KQL166"/>
      <c r="KQM166"/>
      <c r="KQN166"/>
      <c r="KQO166"/>
      <c r="KQP166"/>
      <c r="KQQ166"/>
      <c r="KQR166"/>
      <c r="KQS166"/>
      <c r="KQT166"/>
      <c r="KQU166"/>
      <c r="KQV166"/>
      <c r="KQW166"/>
      <c r="KQX166"/>
      <c r="KQY166"/>
      <c r="KQZ166"/>
      <c r="KRA166"/>
      <c r="KRB166"/>
      <c r="KRC166"/>
      <c r="KRD166"/>
      <c r="KRE166"/>
      <c r="KRF166"/>
      <c r="KRG166"/>
      <c r="KRH166"/>
      <c r="KRI166"/>
      <c r="KRJ166"/>
      <c r="KRK166"/>
      <c r="KRL166"/>
      <c r="KRM166"/>
      <c r="KRN166"/>
      <c r="KRO166"/>
      <c r="KRP166"/>
      <c r="KRQ166"/>
      <c r="KRR166"/>
      <c r="KRS166"/>
      <c r="KRT166"/>
      <c r="KRU166"/>
      <c r="KRV166"/>
      <c r="KRW166"/>
      <c r="KRX166"/>
      <c r="KRY166"/>
      <c r="KRZ166"/>
      <c r="KSA166"/>
      <c r="KSB166"/>
      <c r="KSC166"/>
      <c r="KSD166"/>
      <c r="KSE166"/>
      <c r="KSF166"/>
      <c r="KSG166"/>
      <c r="KSH166"/>
      <c r="KSI166"/>
      <c r="KSJ166"/>
      <c r="KSK166"/>
      <c r="KSL166"/>
      <c r="KSM166"/>
      <c r="KSN166"/>
      <c r="KSO166"/>
      <c r="KSP166"/>
      <c r="KSQ166"/>
      <c r="KSR166"/>
      <c r="KSS166"/>
      <c r="KST166"/>
      <c r="KSU166"/>
      <c r="KSV166"/>
      <c r="KSW166"/>
      <c r="KSX166"/>
      <c r="KSY166"/>
      <c r="KSZ166"/>
      <c r="KTA166"/>
      <c r="KTB166"/>
      <c r="KTC166"/>
      <c r="KTD166"/>
      <c r="KTE166"/>
      <c r="KTF166"/>
      <c r="KTG166"/>
      <c r="KTH166"/>
      <c r="KTI166"/>
      <c r="KTJ166"/>
      <c r="KTK166"/>
      <c r="KTL166"/>
      <c r="KTM166"/>
      <c r="KTN166"/>
      <c r="KTO166"/>
      <c r="KTP166"/>
      <c r="KTQ166"/>
      <c r="KTR166"/>
      <c r="KTS166"/>
      <c r="KTT166"/>
      <c r="KTU166"/>
      <c r="KTV166"/>
      <c r="KTW166"/>
      <c r="KTX166"/>
      <c r="KTY166"/>
      <c r="KTZ166"/>
      <c r="KUA166"/>
      <c r="KUB166"/>
      <c r="KUC166"/>
      <c r="KUD166"/>
      <c r="KUE166"/>
      <c r="KUF166"/>
      <c r="KUG166"/>
      <c r="KUH166"/>
      <c r="KUI166"/>
      <c r="KUJ166"/>
      <c r="KUK166"/>
      <c r="KUL166"/>
      <c r="KUM166"/>
      <c r="KUN166"/>
      <c r="KUO166"/>
      <c r="KUP166"/>
      <c r="KUQ166"/>
      <c r="KUR166"/>
      <c r="KUS166"/>
      <c r="KUT166"/>
      <c r="KUU166"/>
      <c r="KUV166"/>
      <c r="KUW166"/>
      <c r="KUX166"/>
      <c r="KUY166"/>
      <c r="KUZ166"/>
      <c r="KVA166"/>
      <c r="KVB166"/>
      <c r="KVC166"/>
      <c r="KVD166"/>
      <c r="KVE166"/>
      <c r="KVF166"/>
      <c r="KVG166"/>
      <c r="KVH166"/>
      <c r="KVI166"/>
      <c r="KVJ166"/>
      <c r="KVK166"/>
      <c r="KVL166"/>
      <c r="KVM166"/>
      <c r="KVN166"/>
      <c r="KVO166"/>
      <c r="KVP166"/>
      <c r="KVQ166"/>
      <c r="KVR166"/>
      <c r="KVS166"/>
      <c r="KVT166"/>
      <c r="KVU166"/>
      <c r="KVV166"/>
      <c r="KVW166"/>
      <c r="KVX166"/>
      <c r="KVY166"/>
      <c r="KVZ166"/>
      <c r="KWA166"/>
      <c r="KWB166"/>
      <c r="KWC166"/>
      <c r="KWD166"/>
      <c r="KWE166"/>
      <c r="KWF166"/>
      <c r="KWG166"/>
      <c r="KWH166"/>
      <c r="KWI166"/>
      <c r="KWJ166"/>
      <c r="KWK166"/>
      <c r="KWL166"/>
      <c r="KWM166"/>
      <c r="KWN166"/>
      <c r="KWO166"/>
      <c r="KWP166"/>
      <c r="KWQ166"/>
      <c r="KWR166"/>
      <c r="KWS166"/>
      <c r="KWT166"/>
      <c r="KWU166"/>
      <c r="KWV166"/>
      <c r="KWW166"/>
      <c r="KWX166"/>
      <c r="KWY166"/>
      <c r="KWZ166"/>
      <c r="KXA166"/>
      <c r="KXB166"/>
      <c r="KXC166"/>
      <c r="KXD166"/>
      <c r="KXE166"/>
      <c r="KXF166"/>
      <c r="KXG166"/>
      <c r="KXH166"/>
      <c r="KXI166"/>
      <c r="KXJ166"/>
      <c r="KXK166"/>
      <c r="KXL166"/>
      <c r="KXM166"/>
      <c r="KXN166"/>
      <c r="KXO166"/>
      <c r="KXP166"/>
      <c r="KXQ166"/>
      <c r="KXR166"/>
      <c r="KXS166"/>
      <c r="KXT166"/>
      <c r="KXU166"/>
      <c r="KXV166"/>
      <c r="KXW166"/>
      <c r="KXX166"/>
      <c r="KXY166"/>
      <c r="KXZ166"/>
      <c r="KYA166"/>
      <c r="KYB166"/>
      <c r="KYC166"/>
      <c r="KYD166"/>
      <c r="KYE166"/>
      <c r="KYF166"/>
      <c r="KYG166"/>
      <c r="KYH166"/>
      <c r="KYI166"/>
      <c r="KYJ166"/>
      <c r="KYK166"/>
      <c r="KYL166"/>
      <c r="KYM166"/>
      <c r="KYN166"/>
      <c r="KYO166"/>
      <c r="KYP166"/>
      <c r="KYQ166"/>
      <c r="KYR166"/>
      <c r="KYS166"/>
      <c r="KYT166"/>
      <c r="KYU166"/>
      <c r="KYV166"/>
      <c r="KYW166"/>
      <c r="KYX166"/>
      <c r="KYY166"/>
      <c r="KYZ166"/>
      <c r="KZA166"/>
      <c r="KZB166"/>
      <c r="KZC166"/>
      <c r="KZD166"/>
      <c r="KZE166"/>
      <c r="KZF166"/>
      <c r="KZG166"/>
      <c r="KZH166"/>
      <c r="KZI166"/>
      <c r="KZJ166"/>
      <c r="KZK166"/>
      <c r="KZL166"/>
      <c r="KZM166"/>
      <c r="KZN166"/>
      <c r="KZO166"/>
      <c r="KZP166"/>
      <c r="KZQ166"/>
      <c r="KZR166"/>
      <c r="KZS166"/>
      <c r="KZT166"/>
      <c r="KZU166"/>
      <c r="KZV166"/>
      <c r="KZW166"/>
      <c r="KZX166"/>
      <c r="KZY166"/>
      <c r="KZZ166"/>
      <c r="LAA166"/>
      <c r="LAB166"/>
      <c r="LAC166"/>
      <c r="LAD166"/>
      <c r="LAE166"/>
      <c r="LAF166"/>
      <c r="LAG166"/>
      <c r="LAH166"/>
      <c r="LAI166"/>
      <c r="LAJ166"/>
      <c r="LAK166"/>
      <c r="LAL166"/>
      <c r="LAM166"/>
      <c r="LAN166"/>
      <c r="LAO166"/>
      <c r="LAP166"/>
      <c r="LAQ166"/>
      <c r="LAR166"/>
      <c r="LAS166"/>
      <c r="LAT166"/>
      <c r="LAU166"/>
      <c r="LAV166"/>
      <c r="LAW166"/>
      <c r="LAX166"/>
      <c r="LAY166"/>
      <c r="LAZ166"/>
      <c r="LBA166"/>
      <c r="LBB166"/>
      <c r="LBC166"/>
      <c r="LBD166"/>
      <c r="LBE166"/>
      <c r="LBF166"/>
      <c r="LBG166"/>
      <c r="LBH166"/>
      <c r="LBI166"/>
      <c r="LBJ166"/>
      <c r="LBK166"/>
      <c r="LBL166"/>
      <c r="LBM166"/>
      <c r="LBN166"/>
      <c r="LBO166"/>
      <c r="LBP166"/>
      <c r="LBQ166"/>
      <c r="LBR166"/>
      <c r="LBS166"/>
      <c r="LBT166"/>
      <c r="LBU166"/>
      <c r="LBV166"/>
      <c r="LBW166"/>
      <c r="LBX166"/>
      <c r="LBY166"/>
      <c r="LBZ166"/>
      <c r="LCA166"/>
      <c r="LCB166"/>
      <c r="LCC166"/>
      <c r="LCD166"/>
      <c r="LCE166"/>
      <c r="LCF166"/>
      <c r="LCG166"/>
      <c r="LCH166"/>
      <c r="LCI166"/>
      <c r="LCJ166"/>
      <c r="LCK166"/>
      <c r="LCL166"/>
      <c r="LCM166"/>
      <c r="LCN166"/>
      <c r="LCO166"/>
      <c r="LCP166"/>
      <c r="LCQ166"/>
      <c r="LCR166"/>
      <c r="LCS166"/>
      <c r="LCT166"/>
      <c r="LCU166"/>
      <c r="LCV166"/>
      <c r="LCW166"/>
      <c r="LCX166"/>
      <c r="LCY166"/>
      <c r="LCZ166"/>
      <c r="LDA166"/>
      <c r="LDB166"/>
      <c r="LDC166"/>
      <c r="LDD166"/>
      <c r="LDE166"/>
      <c r="LDF166"/>
      <c r="LDG166"/>
      <c r="LDH166"/>
      <c r="LDI166"/>
      <c r="LDJ166"/>
      <c r="LDK166"/>
      <c r="LDL166"/>
      <c r="LDM166"/>
      <c r="LDN166"/>
      <c r="LDO166"/>
      <c r="LDP166"/>
      <c r="LDQ166"/>
      <c r="LDR166"/>
      <c r="LDS166"/>
      <c r="LDT166"/>
      <c r="LDU166"/>
      <c r="LDV166"/>
      <c r="LDW166"/>
      <c r="LDX166"/>
      <c r="LDY166"/>
      <c r="LDZ166"/>
      <c r="LEA166"/>
      <c r="LEB166"/>
      <c r="LEC166"/>
      <c r="LED166"/>
      <c r="LEE166"/>
      <c r="LEF166"/>
      <c r="LEG166"/>
      <c r="LEH166"/>
      <c r="LEI166"/>
      <c r="LEJ166"/>
      <c r="LEK166"/>
      <c r="LEL166"/>
      <c r="LEM166"/>
      <c r="LEN166"/>
      <c r="LEO166"/>
      <c r="LEP166"/>
      <c r="LEQ166"/>
      <c r="LER166"/>
      <c r="LES166"/>
      <c r="LET166"/>
      <c r="LEU166"/>
      <c r="LEV166"/>
      <c r="LEW166"/>
      <c r="LEX166"/>
      <c r="LEY166"/>
      <c r="LEZ166"/>
      <c r="LFA166"/>
      <c r="LFB166"/>
      <c r="LFC166"/>
      <c r="LFD166"/>
      <c r="LFE166"/>
      <c r="LFF166"/>
      <c r="LFG166"/>
      <c r="LFH166"/>
      <c r="LFI166"/>
      <c r="LFJ166"/>
      <c r="LFK166"/>
      <c r="LFL166"/>
      <c r="LFM166"/>
      <c r="LFN166"/>
      <c r="LFO166"/>
      <c r="LFP166"/>
      <c r="LFQ166"/>
      <c r="LFR166"/>
      <c r="LFS166"/>
      <c r="LFT166"/>
      <c r="LFU166"/>
      <c r="LFV166"/>
      <c r="LFW166"/>
      <c r="LFX166"/>
      <c r="LFY166"/>
      <c r="LFZ166"/>
      <c r="LGA166"/>
      <c r="LGB166"/>
      <c r="LGC166"/>
      <c r="LGD166"/>
      <c r="LGE166"/>
      <c r="LGF166"/>
      <c r="LGG166"/>
      <c r="LGH166"/>
      <c r="LGI166"/>
      <c r="LGJ166"/>
      <c r="LGK166"/>
      <c r="LGL166"/>
      <c r="LGM166"/>
      <c r="LGN166"/>
      <c r="LGO166"/>
      <c r="LGP166"/>
      <c r="LGQ166"/>
      <c r="LGR166"/>
      <c r="LGS166"/>
      <c r="LGT166"/>
      <c r="LGU166"/>
      <c r="LGV166"/>
      <c r="LGW166"/>
      <c r="LGX166"/>
      <c r="LGY166"/>
      <c r="LGZ166"/>
      <c r="LHA166"/>
      <c r="LHB166"/>
      <c r="LHC166"/>
      <c r="LHD166"/>
      <c r="LHE166"/>
      <c r="LHF166"/>
      <c r="LHG166"/>
      <c r="LHH166"/>
      <c r="LHI166"/>
      <c r="LHJ166"/>
      <c r="LHK166"/>
      <c r="LHL166"/>
      <c r="LHM166"/>
      <c r="LHN166"/>
      <c r="LHO166"/>
      <c r="LHP166"/>
      <c r="LHQ166"/>
      <c r="LHR166"/>
      <c r="LHS166"/>
      <c r="LHT166"/>
      <c r="LHU166"/>
      <c r="LHV166"/>
      <c r="LHW166"/>
      <c r="LHX166"/>
      <c r="LHY166"/>
      <c r="LHZ166"/>
      <c r="LIA166"/>
      <c r="LIB166"/>
      <c r="LIC166"/>
      <c r="LID166"/>
      <c r="LIE166"/>
      <c r="LIF166"/>
      <c r="LIG166"/>
      <c r="LIH166"/>
      <c r="LII166"/>
      <c r="LIJ166"/>
      <c r="LIK166"/>
      <c r="LIL166"/>
      <c r="LIM166"/>
      <c r="LIN166"/>
      <c r="LIO166"/>
      <c r="LIP166"/>
      <c r="LIQ166"/>
      <c r="LIR166"/>
      <c r="LIS166"/>
      <c r="LIT166"/>
      <c r="LIU166"/>
      <c r="LIV166"/>
      <c r="LIW166"/>
      <c r="LIX166"/>
      <c r="LIY166"/>
      <c r="LIZ166"/>
      <c r="LJA166"/>
      <c r="LJB166"/>
      <c r="LJC166"/>
      <c r="LJD166"/>
      <c r="LJE166"/>
      <c r="LJF166"/>
      <c r="LJG166"/>
      <c r="LJH166"/>
      <c r="LJI166"/>
      <c r="LJJ166"/>
      <c r="LJK166"/>
      <c r="LJL166"/>
      <c r="LJM166"/>
      <c r="LJN166"/>
      <c r="LJO166"/>
      <c r="LJP166"/>
      <c r="LJQ166"/>
      <c r="LJR166"/>
      <c r="LJS166"/>
      <c r="LJT166"/>
      <c r="LJU166"/>
      <c r="LJV166"/>
      <c r="LJW166"/>
      <c r="LJX166"/>
      <c r="LJY166"/>
      <c r="LJZ166"/>
      <c r="LKA166"/>
      <c r="LKB166"/>
      <c r="LKC166"/>
      <c r="LKD166"/>
      <c r="LKE166"/>
      <c r="LKF166"/>
      <c r="LKG166"/>
      <c r="LKH166"/>
      <c r="LKI166"/>
      <c r="LKJ166"/>
      <c r="LKK166"/>
      <c r="LKL166"/>
      <c r="LKM166"/>
      <c r="LKN166"/>
      <c r="LKO166"/>
      <c r="LKP166"/>
      <c r="LKQ166"/>
      <c r="LKR166"/>
      <c r="LKS166"/>
      <c r="LKT166"/>
      <c r="LKU166"/>
      <c r="LKV166"/>
      <c r="LKW166"/>
      <c r="LKX166"/>
      <c r="LKY166"/>
      <c r="LKZ166"/>
      <c r="LLA166"/>
      <c r="LLB166"/>
      <c r="LLC166"/>
      <c r="LLD166"/>
      <c r="LLE166"/>
      <c r="LLF166"/>
      <c r="LLG166"/>
      <c r="LLH166"/>
      <c r="LLI166"/>
      <c r="LLJ166"/>
      <c r="LLK166"/>
      <c r="LLL166"/>
      <c r="LLM166"/>
      <c r="LLN166"/>
      <c r="LLO166"/>
      <c r="LLP166"/>
      <c r="LLQ166"/>
      <c r="LLR166"/>
      <c r="LLS166"/>
      <c r="LLT166"/>
      <c r="LLU166"/>
      <c r="LLV166"/>
      <c r="LLW166"/>
      <c r="LLX166"/>
      <c r="LLY166"/>
      <c r="LLZ166"/>
      <c r="LMA166"/>
      <c r="LMB166"/>
      <c r="LMC166"/>
      <c r="LMD166"/>
      <c r="LME166"/>
      <c r="LMF166"/>
      <c r="LMG166"/>
      <c r="LMH166"/>
      <c r="LMI166"/>
      <c r="LMJ166"/>
      <c r="LMK166"/>
      <c r="LML166"/>
      <c r="LMM166"/>
      <c r="LMN166"/>
      <c r="LMO166"/>
      <c r="LMP166"/>
      <c r="LMQ166"/>
      <c r="LMR166"/>
      <c r="LMS166"/>
      <c r="LMT166"/>
      <c r="LMU166"/>
      <c r="LMV166"/>
      <c r="LMW166"/>
      <c r="LMX166"/>
      <c r="LMY166"/>
      <c r="LMZ166"/>
      <c r="LNA166"/>
      <c r="LNB166"/>
      <c r="LNC166"/>
      <c r="LND166"/>
      <c r="LNE166"/>
      <c r="LNF166"/>
      <c r="LNG166"/>
      <c r="LNH166"/>
      <c r="LNI166"/>
      <c r="LNJ166"/>
      <c r="LNK166"/>
      <c r="LNL166"/>
      <c r="LNM166"/>
      <c r="LNN166"/>
      <c r="LNO166"/>
      <c r="LNP166"/>
      <c r="LNQ166"/>
      <c r="LNR166"/>
      <c r="LNS166"/>
      <c r="LNT166"/>
      <c r="LNU166"/>
      <c r="LNV166"/>
      <c r="LNW166"/>
      <c r="LNX166"/>
      <c r="LNY166"/>
      <c r="LNZ166"/>
      <c r="LOA166"/>
      <c r="LOB166"/>
      <c r="LOC166"/>
      <c r="LOD166"/>
      <c r="LOE166"/>
      <c r="LOF166"/>
      <c r="LOG166"/>
      <c r="LOH166"/>
      <c r="LOI166"/>
      <c r="LOJ166"/>
      <c r="LOK166"/>
      <c r="LOL166"/>
      <c r="LOM166"/>
      <c r="LON166"/>
      <c r="LOO166"/>
      <c r="LOP166"/>
      <c r="LOQ166"/>
      <c r="LOR166"/>
      <c r="LOS166"/>
      <c r="LOT166"/>
      <c r="LOU166"/>
      <c r="LOV166"/>
      <c r="LOW166"/>
      <c r="LOX166"/>
      <c r="LOY166"/>
      <c r="LOZ166"/>
      <c r="LPA166"/>
      <c r="LPB166"/>
      <c r="LPC166"/>
      <c r="LPD166"/>
      <c r="LPE166"/>
      <c r="LPF166"/>
      <c r="LPG166"/>
      <c r="LPH166"/>
      <c r="LPI166"/>
      <c r="LPJ166"/>
      <c r="LPK166"/>
      <c r="LPL166"/>
      <c r="LPM166"/>
      <c r="LPN166"/>
      <c r="LPO166"/>
      <c r="LPP166"/>
      <c r="LPQ166"/>
      <c r="LPR166"/>
      <c r="LPS166"/>
      <c r="LPT166"/>
      <c r="LPU166"/>
      <c r="LPV166"/>
      <c r="LPW166"/>
      <c r="LPX166"/>
      <c r="LPY166"/>
      <c r="LPZ166"/>
      <c r="LQA166"/>
      <c r="LQB166"/>
      <c r="LQC166"/>
      <c r="LQD166"/>
      <c r="LQE166"/>
      <c r="LQF166"/>
      <c r="LQG166"/>
      <c r="LQH166"/>
      <c r="LQI166"/>
      <c r="LQJ166"/>
      <c r="LQK166"/>
      <c r="LQL166"/>
      <c r="LQM166"/>
      <c r="LQN166"/>
      <c r="LQO166"/>
      <c r="LQP166"/>
      <c r="LQQ166"/>
      <c r="LQR166"/>
      <c r="LQS166"/>
      <c r="LQT166"/>
      <c r="LQU166"/>
      <c r="LQV166"/>
      <c r="LQW166"/>
      <c r="LQX166"/>
      <c r="LQY166"/>
      <c r="LQZ166"/>
      <c r="LRA166"/>
      <c r="LRB166"/>
      <c r="LRC166"/>
      <c r="LRD166"/>
      <c r="LRE166"/>
      <c r="LRF166"/>
      <c r="LRG166"/>
      <c r="LRH166"/>
      <c r="LRI166"/>
      <c r="LRJ166"/>
      <c r="LRK166"/>
      <c r="LRL166"/>
      <c r="LRM166"/>
      <c r="LRN166"/>
      <c r="LRO166"/>
      <c r="LRP166"/>
      <c r="LRQ166"/>
      <c r="LRR166"/>
      <c r="LRS166"/>
      <c r="LRT166"/>
      <c r="LRU166"/>
      <c r="LRV166"/>
      <c r="LRW166"/>
      <c r="LRX166"/>
      <c r="LRY166"/>
      <c r="LRZ166"/>
      <c r="LSA166"/>
      <c r="LSB166"/>
      <c r="LSC166"/>
      <c r="LSD166"/>
      <c r="LSE166"/>
      <c r="LSF166"/>
      <c r="LSG166"/>
      <c r="LSH166"/>
      <c r="LSI166"/>
      <c r="LSJ166"/>
      <c r="LSK166"/>
      <c r="LSL166"/>
      <c r="LSM166"/>
      <c r="LSN166"/>
      <c r="LSO166"/>
      <c r="LSP166"/>
      <c r="LSQ166"/>
      <c r="LSR166"/>
      <c r="LSS166"/>
      <c r="LST166"/>
      <c r="LSU166"/>
      <c r="LSV166"/>
      <c r="LSW166"/>
      <c r="LSX166"/>
      <c r="LSY166"/>
      <c r="LSZ166"/>
      <c r="LTA166"/>
      <c r="LTB166"/>
      <c r="LTC166"/>
      <c r="LTD166"/>
      <c r="LTE166"/>
      <c r="LTF166"/>
      <c r="LTG166"/>
      <c r="LTH166"/>
      <c r="LTI166"/>
      <c r="LTJ166"/>
      <c r="LTK166"/>
      <c r="LTL166"/>
      <c r="LTM166"/>
      <c r="LTN166"/>
      <c r="LTO166"/>
      <c r="LTP166"/>
      <c r="LTQ166"/>
      <c r="LTR166"/>
      <c r="LTS166"/>
      <c r="LTT166"/>
      <c r="LTU166"/>
      <c r="LTV166"/>
      <c r="LTW166"/>
      <c r="LTX166"/>
      <c r="LTY166"/>
      <c r="LTZ166"/>
      <c r="LUA166"/>
      <c r="LUB166"/>
      <c r="LUC166"/>
      <c r="LUD166"/>
      <c r="LUE166"/>
      <c r="LUF166"/>
      <c r="LUG166"/>
      <c r="LUH166"/>
      <c r="LUI166"/>
      <c r="LUJ166"/>
      <c r="LUK166"/>
      <c r="LUL166"/>
      <c r="LUM166"/>
      <c r="LUN166"/>
      <c r="LUO166"/>
      <c r="LUP166"/>
      <c r="LUQ166"/>
      <c r="LUR166"/>
      <c r="LUS166"/>
      <c r="LUT166"/>
      <c r="LUU166"/>
      <c r="LUV166"/>
      <c r="LUW166"/>
      <c r="LUX166"/>
      <c r="LUY166"/>
      <c r="LUZ166"/>
      <c r="LVA166"/>
      <c r="LVB166"/>
      <c r="LVC166"/>
      <c r="LVD166"/>
      <c r="LVE166"/>
      <c r="LVF166"/>
      <c r="LVG166"/>
      <c r="LVH166"/>
      <c r="LVI166"/>
      <c r="LVJ166"/>
      <c r="LVK166"/>
      <c r="LVL166"/>
      <c r="LVM166"/>
      <c r="LVN166"/>
      <c r="LVO166"/>
      <c r="LVP166"/>
      <c r="LVQ166"/>
      <c r="LVR166"/>
      <c r="LVS166"/>
      <c r="LVT166"/>
      <c r="LVU166"/>
      <c r="LVV166"/>
      <c r="LVW166"/>
      <c r="LVX166"/>
      <c r="LVY166"/>
      <c r="LVZ166"/>
      <c r="LWA166"/>
      <c r="LWB166"/>
      <c r="LWC166"/>
      <c r="LWD166"/>
      <c r="LWE166"/>
      <c r="LWF166"/>
      <c r="LWG166"/>
      <c r="LWH166"/>
      <c r="LWI166"/>
      <c r="LWJ166"/>
      <c r="LWK166"/>
      <c r="LWL166"/>
      <c r="LWM166"/>
      <c r="LWN166"/>
      <c r="LWO166"/>
      <c r="LWP166"/>
      <c r="LWQ166"/>
      <c r="LWR166"/>
      <c r="LWS166"/>
      <c r="LWT166"/>
      <c r="LWU166"/>
      <c r="LWV166"/>
      <c r="LWW166"/>
      <c r="LWX166"/>
      <c r="LWY166"/>
      <c r="LWZ166"/>
      <c r="LXA166"/>
      <c r="LXB166"/>
      <c r="LXC166"/>
      <c r="LXD166"/>
      <c r="LXE166"/>
      <c r="LXF166"/>
      <c r="LXG166"/>
      <c r="LXH166"/>
      <c r="LXI166"/>
      <c r="LXJ166"/>
      <c r="LXK166"/>
      <c r="LXL166"/>
      <c r="LXM166"/>
      <c r="LXN166"/>
      <c r="LXO166"/>
      <c r="LXP166"/>
      <c r="LXQ166"/>
      <c r="LXR166"/>
      <c r="LXS166"/>
      <c r="LXT166"/>
      <c r="LXU166"/>
      <c r="LXV166"/>
      <c r="LXW166"/>
      <c r="LXX166"/>
      <c r="LXY166"/>
      <c r="LXZ166"/>
      <c r="LYA166"/>
      <c r="LYB166"/>
      <c r="LYC166"/>
      <c r="LYD166"/>
      <c r="LYE166"/>
      <c r="LYF166"/>
      <c r="LYG166"/>
      <c r="LYH166"/>
      <c r="LYI166"/>
      <c r="LYJ166"/>
      <c r="LYK166"/>
      <c r="LYL166"/>
      <c r="LYM166"/>
      <c r="LYN166"/>
      <c r="LYO166"/>
      <c r="LYP166"/>
      <c r="LYQ166"/>
      <c r="LYR166"/>
      <c r="LYS166"/>
      <c r="LYT166"/>
      <c r="LYU166"/>
      <c r="LYV166"/>
      <c r="LYW166"/>
      <c r="LYX166"/>
      <c r="LYY166"/>
      <c r="LYZ166"/>
      <c r="LZA166"/>
      <c r="LZB166"/>
      <c r="LZC166"/>
      <c r="LZD166"/>
      <c r="LZE166"/>
      <c r="LZF166"/>
      <c r="LZG166"/>
      <c r="LZH166"/>
      <c r="LZI166"/>
      <c r="LZJ166"/>
      <c r="LZK166"/>
      <c r="LZL166"/>
      <c r="LZM166"/>
      <c r="LZN166"/>
      <c r="LZO166"/>
      <c r="LZP166"/>
      <c r="LZQ166"/>
      <c r="LZR166"/>
      <c r="LZS166"/>
      <c r="LZT166"/>
      <c r="LZU166"/>
      <c r="LZV166"/>
      <c r="LZW166"/>
      <c r="LZX166"/>
      <c r="LZY166"/>
      <c r="LZZ166"/>
      <c r="MAA166"/>
      <c r="MAB166"/>
      <c r="MAC166"/>
      <c r="MAD166"/>
      <c r="MAE166"/>
      <c r="MAF166"/>
      <c r="MAG166"/>
      <c r="MAH166"/>
      <c r="MAI166"/>
      <c r="MAJ166"/>
      <c r="MAK166"/>
      <c r="MAL166"/>
      <c r="MAM166"/>
      <c r="MAN166"/>
      <c r="MAO166"/>
      <c r="MAP166"/>
      <c r="MAQ166"/>
      <c r="MAR166"/>
      <c r="MAS166"/>
      <c r="MAT166"/>
      <c r="MAU166"/>
      <c r="MAV166"/>
      <c r="MAW166"/>
      <c r="MAX166"/>
      <c r="MAY166"/>
      <c r="MAZ166"/>
      <c r="MBA166"/>
      <c r="MBB166"/>
      <c r="MBC166"/>
      <c r="MBD166"/>
      <c r="MBE166"/>
      <c r="MBF166"/>
      <c r="MBG166"/>
      <c r="MBH166"/>
      <c r="MBI166"/>
      <c r="MBJ166"/>
      <c r="MBK166"/>
      <c r="MBL166"/>
      <c r="MBM166"/>
      <c r="MBN166"/>
      <c r="MBO166"/>
      <c r="MBP166"/>
      <c r="MBQ166"/>
      <c r="MBR166"/>
      <c r="MBS166"/>
      <c r="MBT166"/>
      <c r="MBU166"/>
      <c r="MBV166"/>
      <c r="MBW166"/>
      <c r="MBX166"/>
      <c r="MBY166"/>
      <c r="MBZ166"/>
      <c r="MCA166"/>
      <c r="MCB166"/>
      <c r="MCC166"/>
      <c r="MCD166"/>
      <c r="MCE166"/>
      <c r="MCF166"/>
      <c r="MCG166"/>
      <c r="MCH166"/>
      <c r="MCI166"/>
      <c r="MCJ166"/>
      <c r="MCK166"/>
      <c r="MCL166"/>
      <c r="MCM166"/>
      <c r="MCN166"/>
      <c r="MCO166"/>
      <c r="MCP166"/>
      <c r="MCQ166"/>
      <c r="MCR166"/>
      <c r="MCS166"/>
      <c r="MCT166"/>
      <c r="MCU166"/>
      <c r="MCV166"/>
      <c r="MCW166"/>
      <c r="MCX166"/>
      <c r="MCY166"/>
      <c r="MCZ166"/>
      <c r="MDA166"/>
      <c r="MDB166"/>
      <c r="MDC166"/>
      <c r="MDD166"/>
      <c r="MDE166"/>
      <c r="MDF166"/>
      <c r="MDG166"/>
      <c r="MDH166"/>
      <c r="MDI166"/>
      <c r="MDJ166"/>
      <c r="MDK166"/>
      <c r="MDL166"/>
      <c r="MDM166"/>
      <c r="MDN166"/>
      <c r="MDO166"/>
      <c r="MDP166"/>
      <c r="MDQ166"/>
      <c r="MDR166"/>
      <c r="MDS166"/>
      <c r="MDT166"/>
      <c r="MDU166"/>
      <c r="MDV166"/>
      <c r="MDW166"/>
      <c r="MDX166"/>
      <c r="MDY166"/>
      <c r="MDZ166"/>
      <c r="MEA166"/>
      <c r="MEB166"/>
      <c r="MEC166"/>
      <c r="MED166"/>
      <c r="MEE166"/>
      <c r="MEF166"/>
      <c r="MEG166"/>
      <c r="MEH166"/>
      <c r="MEI166"/>
      <c r="MEJ166"/>
      <c r="MEK166"/>
      <c r="MEL166"/>
      <c r="MEM166"/>
      <c r="MEN166"/>
      <c r="MEO166"/>
      <c r="MEP166"/>
      <c r="MEQ166"/>
      <c r="MER166"/>
      <c r="MES166"/>
      <c r="MET166"/>
      <c r="MEU166"/>
      <c r="MEV166"/>
      <c r="MEW166"/>
      <c r="MEX166"/>
      <c r="MEY166"/>
      <c r="MEZ166"/>
      <c r="MFA166"/>
      <c r="MFB166"/>
      <c r="MFC166"/>
      <c r="MFD166"/>
      <c r="MFE166"/>
      <c r="MFF166"/>
      <c r="MFG166"/>
      <c r="MFH166"/>
      <c r="MFI166"/>
      <c r="MFJ166"/>
      <c r="MFK166"/>
      <c r="MFL166"/>
      <c r="MFM166"/>
      <c r="MFN166"/>
      <c r="MFO166"/>
      <c r="MFP166"/>
      <c r="MFQ166"/>
      <c r="MFR166"/>
      <c r="MFS166"/>
      <c r="MFT166"/>
      <c r="MFU166"/>
      <c r="MFV166"/>
      <c r="MFW166"/>
      <c r="MFX166"/>
      <c r="MFY166"/>
      <c r="MFZ166"/>
      <c r="MGA166"/>
      <c r="MGB166"/>
      <c r="MGC166"/>
      <c r="MGD166"/>
      <c r="MGE166"/>
      <c r="MGF166"/>
      <c r="MGG166"/>
      <c r="MGH166"/>
      <c r="MGI166"/>
      <c r="MGJ166"/>
      <c r="MGK166"/>
      <c r="MGL166"/>
      <c r="MGM166"/>
      <c r="MGN166"/>
      <c r="MGO166"/>
      <c r="MGP166"/>
      <c r="MGQ166"/>
      <c r="MGR166"/>
      <c r="MGS166"/>
      <c r="MGT166"/>
      <c r="MGU166"/>
      <c r="MGV166"/>
      <c r="MGW166"/>
      <c r="MGX166"/>
      <c r="MGY166"/>
      <c r="MGZ166"/>
      <c r="MHA166"/>
      <c r="MHB166"/>
      <c r="MHC166"/>
      <c r="MHD166"/>
      <c r="MHE166"/>
      <c r="MHF166"/>
      <c r="MHG166"/>
      <c r="MHH166"/>
      <c r="MHI166"/>
      <c r="MHJ166"/>
      <c r="MHK166"/>
      <c r="MHL166"/>
      <c r="MHM166"/>
      <c r="MHN166"/>
      <c r="MHO166"/>
      <c r="MHP166"/>
      <c r="MHQ166"/>
      <c r="MHR166"/>
      <c r="MHS166"/>
      <c r="MHT166"/>
      <c r="MHU166"/>
      <c r="MHV166"/>
      <c r="MHW166"/>
      <c r="MHX166"/>
      <c r="MHY166"/>
      <c r="MHZ166"/>
      <c r="MIA166"/>
      <c r="MIB166"/>
      <c r="MIC166"/>
      <c r="MID166"/>
      <c r="MIE166"/>
      <c r="MIF166"/>
      <c r="MIG166"/>
      <c r="MIH166"/>
      <c r="MII166"/>
      <c r="MIJ166"/>
      <c r="MIK166"/>
      <c r="MIL166"/>
      <c r="MIM166"/>
      <c r="MIN166"/>
      <c r="MIO166"/>
      <c r="MIP166"/>
      <c r="MIQ166"/>
      <c r="MIR166"/>
      <c r="MIS166"/>
      <c r="MIT166"/>
      <c r="MIU166"/>
      <c r="MIV166"/>
      <c r="MIW166"/>
      <c r="MIX166"/>
      <c r="MIY166"/>
      <c r="MIZ166"/>
      <c r="MJA166"/>
      <c r="MJB166"/>
      <c r="MJC166"/>
      <c r="MJD166"/>
      <c r="MJE166"/>
      <c r="MJF166"/>
      <c r="MJG166"/>
      <c r="MJH166"/>
      <c r="MJI166"/>
      <c r="MJJ166"/>
      <c r="MJK166"/>
      <c r="MJL166"/>
      <c r="MJM166"/>
      <c r="MJN166"/>
      <c r="MJO166"/>
      <c r="MJP166"/>
      <c r="MJQ166"/>
      <c r="MJR166"/>
      <c r="MJS166"/>
      <c r="MJT166"/>
      <c r="MJU166"/>
      <c r="MJV166"/>
      <c r="MJW166"/>
      <c r="MJX166"/>
      <c r="MJY166"/>
      <c r="MJZ166"/>
      <c r="MKA166"/>
      <c r="MKB166"/>
      <c r="MKC166"/>
      <c r="MKD166"/>
      <c r="MKE166"/>
      <c r="MKF166"/>
      <c r="MKG166"/>
      <c r="MKH166"/>
      <c r="MKI166"/>
      <c r="MKJ166"/>
      <c r="MKK166"/>
      <c r="MKL166"/>
      <c r="MKM166"/>
      <c r="MKN166"/>
      <c r="MKO166"/>
      <c r="MKP166"/>
      <c r="MKQ166"/>
      <c r="MKR166"/>
      <c r="MKS166"/>
      <c r="MKT166"/>
      <c r="MKU166"/>
      <c r="MKV166"/>
      <c r="MKW166"/>
      <c r="MKX166"/>
      <c r="MKY166"/>
      <c r="MKZ166"/>
      <c r="MLA166"/>
      <c r="MLB166"/>
      <c r="MLC166"/>
      <c r="MLD166"/>
      <c r="MLE166"/>
      <c r="MLF166"/>
      <c r="MLG166"/>
      <c r="MLH166"/>
      <c r="MLI166"/>
      <c r="MLJ166"/>
      <c r="MLK166"/>
      <c r="MLL166"/>
      <c r="MLM166"/>
      <c r="MLN166"/>
      <c r="MLO166"/>
      <c r="MLP166"/>
      <c r="MLQ166"/>
      <c r="MLR166"/>
      <c r="MLS166"/>
      <c r="MLT166"/>
      <c r="MLU166"/>
      <c r="MLV166"/>
      <c r="MLW166"/>
      <c r="MLX166"/>
      <c r="MLY166"/>
      <c r="MLZ166"/>
      <c r="MMA166"/>
      <c r="MMB166"/>
      <c r="MMC166"/>
      <c r="MMD166"/>
      <c r="MME166"/>
      <c r="MMF166"/>
      <c r="MMG166"/>
      <c r="MMH166"/>
      <c r="MMI166"/>
      <c r="MMJ166"/>
      <c r="MMK166"/>
      <c r="MML166"/>
      <c r="MMM166"/>
      <c r="MMN166"/>
      <c r="MMO166"/>
      <c r="MMP166"/>
      <c r="MMQ166"/>
      <c r="MMR166"/>
      <c r="MMS166"/>
      <c r="MMT166"/>
      <c r="MMU166"/>
      <c r="MMV166"/>
      <c r="MMW166"/>
      <c r="MMX166"/>
      <c r="MMY166"/>
      <c r="MMZ166"/>
      <c r="MNA166"/>
      <c r="MNB166"/>
      <c r="MNC166"/>
      <c r="MND166"/>
      <c r="MNE166"/>
      <c r="MNF166"/>
      <c r="MNG166"/>
      <c r="MNH166"/>
      <c r="MNI166"/>
      <c r="MNJ166"/>
      <c r="MNK166"/>
      <c r="MNL166"/>
      <c r="MNM166"/>
      <c r="MNN166"/>
      <c r="MNO166"/>
      <c r="MNP166"/>
      <c r="MNQ166"/>
      <c r="MNR166"/>
      <c r="MNS166"/>
      <c r="MNT166"/>
      <c r="MNU166"/>
      <c r="MNV166"/>
      <c r="MNW166"/>
      <c r="MNX166"/>
      <c r="MNY166"/>
      <c r="MNZ166"/>
      <c r="MOA166"/>
      <c r="MOB166"/>
      <c r="MOC166"/>
      <c r="MOD166"/>
      <c r="MOE166"/>
      <c r="MOF166"/>
      <c r="MOG166"/>
      <c r="MOH166"/>
      <c r="MOI166"/>
      <c r="MOJ166"/>
      <c r="MOK166"/>
      <c r="MOL166"/>
      <c r="MOM166"/>
      <c r="MON166"/>
      <c r="MOO166"/>
      <c r="MOP166"/>
      <c r="MOQ166"/>
      <c r="MOR166"/>
      <c r="MOS166"/>
      <c r="MOT166"/>
      <c r="MOU166"/>
      <c r="MOV166"/>
      <c r="MOW166"/>
      <c r="MOX166"/>
      <c r="MOY166"/>
      <c r="MOZ166"/>
      <c r="MPA166"/>
      <c r="MPB166"/>
      <c r="MPC166"/>
      <c r="MPD166"/>
      <c r="MPE166"/>
      <c r="MPF166"/>
      <c r="MPG166"/>
      <c r="MPH166"/>
      <c r="MPI166"/>
      <c r="MPJ166"/>
      <c r="MPK166"/>
      <c r="MPL166"/>
      <c r="MPM166"/>
      <c r="MPN166"/>
      <c r="MPO166"/>
      <c r="MPP166"/>
      <c r="MPQ166"/>
      <c r="MPR166"/>
      <c r="MPS166"/>
      <c r="MPT166"/>
      <c r="MPU166"/>
      <c r="MPV166"/>
      <c r="MPW166"/>
      <c r="MPX166"/>
      <c r="MPY166"/>
      <c r="MPZ166"/>
      <c r="MQA166"/>
      <c r="MQB166"/>
      <c r="MQC166"/>
      <c r="MQD166"/>
      <c r="MQE166"/>
      <c r="MQF166"/>
      <c r="MQG166"/>
      <c r="MQH166"/>
      <c r="MQI166"/>
      <c r="MQJ166"/>
      <c r="MQK166"/>
      <c r="MQL166"/>
      <c r="MQM166"/>
      <c r="MQN166"/>
      <c r="MQO166"/>
      <c r="MQP166"/>
      <c r="MQQ166"/>
      <c r="MQR166"/>
      <c r="MQS166"/>
      <c r="MQT166"/>
      <c r="MQU166"/>
      <c r="MQV166"/>
      <c r="MQW166"/>
      <c r="MQX166"/>
      <c r="MQY166"/>
      <c r="MQZ166"/>
      <c r="MRA166"/>
      <c r="MRB166"/>
      <c r="MRC166"/>
      <c r="MRD166"/>
      <c r="MRE166"/>
      <c r="MRF166"/>
      <c r="MRG166"/>
      <c r="MRH166"/>
      <c r="MRI166"/>
      <c r="MRJ166"/>
      <c r="MRK166"/>
      <c r="MRL166"/>
      <c r="MRM166"/>
      <c r="MRN166"/>
      <c r="MRO166"/>
      <c r="MRP166"/>
      <c r="MRQ166"/>
      <c r="MRR166"/>
      <c r="MRS166"/>
      <c r="MRT166"/>
      <c r="MRU166"/>
      <c r="MRV166"/>
      <c r="MRW166"/>
      <c r="MRX166"/>
      <c r="MRY166"/>
      <c r="MRZ166"/>
      <c r="MSA166"/>
      <c r="MSB166"/>
      <c r="MSC166"/>
      <c r="MSD166"/>
      <c r="MSE166"/>
      <c r="MSF166"/>
      <c r="MSG166"/>
      <c r="MSH166"/>
      <c r="MSI166"/>
      <c r="MSJ166"/>
      <c r="MSK166"/>
      <c r="MSL166"/>
      <c r="MSM166"/>
      <c r="MSN166"/>
      <c r="MSO166"/>
      <c r="MSP166"/>
      <c r="MSQ166"/>
      <c r="MSR166"/>
      <c r="MSS166"/>
      <c r="MST166"/>
      <c r="MSU166"/>
      <c r="MSV166"/>
      <c r="MSW166"/>
      <c r="MSX166"/>
      <c r="MSY166"/>
      <c r="MSZ166"/>
      <c r="MTA166"/>
      <c r="MTB166"/>
      <c r="MTC166"/>
      <c r="MTD166"/>
      <c r="MTE166"/>
      <c r="MTF166"/>
      <c r="MTG166"/>
      <c r="MTH166"/>
      <c r="MTI166"/>
      <c r="MTJ166"/>
      <c r="MTK166"/>
      <c r="MTL166"/>
      <c r="MTM166"/>
      <c r="MTN166"/>
      <c r="MTO166"/>
      <c r="MTP166"/>
      <c r="MTQ166"/>
      <c r="MTR166"/>
      <c r="MTS166"/>
      <c r="MTT166"/>
      <c r="MTU166"/>
      <c r="MTV166"/>
      <c r="MTW166"/>
      <c r="MTX166"/>
      <c r="MTY166"/>
      <c r="MTZ166"/>
      <c r="MUA166"/>
      <c r="MUB166"/>
      <c r="MUC166"/>
      <c r="MUD166"/>
      <c r="MUE166"/>
      <c r="MUF166"/>
      <c r="MUG166"/>
      <c r="MUH166"/>
      <c r="MUI166"/>
      <c r="MUJ166"/>
      <c r="MUK166"/>
      <c r="MUL166"/>
      <c r="MUM166"/>
      <c r="MUN166"/>
      <c r="MUO166"/>
      <c r="MUP166"/>
      <c r="MUQ166"/>
      <c r="MUR166"/>
      <c r="MUS166"/>
      <c r="MUT166"/>
      <c r="MUU166"/>
      <c r="MUV166"/>
      <c r="MUW166"/>
      <c r="MUX166"/>
      <c r="MUY166"/>
      <c r="MUZ166"/>
      <c r="MVA166"/>
      <c r="MVB166"/>
      <c r="MVC166"/>
      <c r="MVD166"/>
      <c r="MVE166"/>
      <c r="MVF166"/>
      <c r="MVG166"/>
      <c r="MVH166"/>
      <c r="MVI166"/>
      <c r="MVJ166"/>
      <c r="MVK166"/>
      <c r="MVL166"/>
      <c r="MVM166"/>
      <c r="MVN166"/>
      <c r="MVO166"/>
      <c r="MVP166"/>
      <c r="MVQ166"/>
      <c r="MVR166"/>
      <c r="MVS166"/>
      <c r="MVT166"/>
      <c r="MVU166"/>
      <c r="MVV166"/>
      <c r="MVW166"/>
      <c r="MVX166"/>
      <c r="MVY166"/>
      <c r="MVZ166"/>
      <c r="MWA166"/>
      <c r="MWB166"/>
      <c r="MWC166"/>
      <c r="MWD166"/>
      <c r="MWE166"/>
      <c r="MWF166"/>
      <c r="MWG166"/>
      <c r="MWH166"/>
      <c r="MWI166"/>
      <c r="MWJ166"/>
      <c r="MWK166"/>
      <c r="MWL166"/>
      <c r="MWM166"/>
      <c r="MWN166"/>
      <c r="MWO166"/>
      <c r="MWP166"/>
      <c r="MWQ166"/>
      <c r="MWR166"/>
      <c r="MWS166"/>
      <c r="MWT166"/>
      <c r="MWU166"/>
      <c r="MWV166"/>
      <c r="MWW166"/>
      <c r="MWX166"/>
      <c r="MWY166"/>
      <c r="MWZ166"/>
      <c r="MXA166"/>
      <c r="MXB166"/>
      <c r="MXC166"/>
      <c r="MXD166"/>
      <c r="MXE166"/>
      <c r="MXF166"/>
      <c r="MXG166"/>
      <c r="MXH166"/>
      <c r="MXI166"/>
      <c r="MXJ166"/>
      <c r="MXK166"/>
      <c r="MXL166"/>
      <c r="MXM166"/>
      <c r="MXN166"/>
      <c r="MXO166"/>
      <c r="MXP166"/>
      <c r="MXQ166"/>
      <c r="MXR166"/>
      <c r="MXS166"/>
      <c r="MXT166"/>
      <c r="MXU166"/>
      <c r="MXV166"/>
      <c r="MXW166"/>
      <c r="MXX166"/>
      <c r="MXY166"/>
      <c r="MXZ166"/>
      <c r="MYA166"/>
      <c r="MYB166"/>
      <c r="MYC166"/>
      <c r="MYD166"/>
      <c r="MYE166"/>
      <c r="MYF166"/>
      <c r="MYG166"/>
      <c r="MYH166"/>
      <c r="MYI166"/>
      <c r="MYJ166"/>
      <c r="MYK166"/>
      <c r="MYL166"/>
      <c r="MYM166"/>
      <c r="MYN166"/>
      <c r="MYO166"/>
      <c r="MYP166"/>
      <c r="MYQ166"/>
      <c r="MYR166"/>
      <c r="MYS166"/>
      <c r="MYT166"/>
      <c r="MYU166"/>
      <c r="MYV166"/>
      <c r="MYW166"/>
      <c r="MYX166"/>
      <c r="MYY166"/>
      <c r="MYZ166"/>
      <c r="MZA166"/>
      <c r="MZB166"/>
      <c r="MZC166"/>
      <c r="MZD166"/>
      <c r="MZE166"/>
      <c r="MZF166"/>
      <c r="MZG166"/>
      <c r="MZH166"/>
      <c r="MZI166"/>
      <c r="MZJ166"/>
      <c r="MZK166"/>
      <c r="MZL166"/>
      <c r="MZM166"/>
      <c r="MZN166"/>
      <c r="MZO166"/>
      <c r="MZP166"/>
      <c r="MZQ166"/>
      <c r="MZR166"/>
      <c r="MZS166"/>
      <c r="MZT166"/>
      <c r="MZU166"/>
      <c r="MZV166"/>
      <c r="MZW166"/>
      <c r="MZX166"/>
      <c r="MZY166"/>
      <c r="MZZ166"/>
      <c r="NAA166"/>
      <c r="NAB166"/>
      <c r="NAC166"/>
      <c r="NAD166"/>
      <c r="NAE166"/>
      <c r="NAF166"/>
      <c r="NAG166"/>
      <c r="NAH166"/>
      <c r="NAI166"/>
      <c r="NAJ166"/>
      <c r="NAK166"/>
      <c r="NAL166"/>
      <c r="NAM166"/>
      <c r="NAN166"/>
      <c r="NAO166"/>
      <c r="NAP166"/>
      <c r="NAQ166"/>
      <c r="NAR166"/>
      <c r="NAS166"/>
      <c r="NAT166"/>
      <c r="NAU166"/>
      <c r="NAV166"/>
      <c r="NAW166"/>
      <c r="NAX166"/>
      <c r="NAY166"/>
      <c r="NAZ166"/>
      <c r="NBA166"/>
      <c r="NBB166"/>
      <c r="NBC166"/>
      <c r="NBD166"/>
      <c r="NBE166"/>
      <c r="NBF166"/>
      <c r="NBG166"/>
      <c r="NBH166"/>
      <c r="NBI166"/>
      <c r="NBJ166"/>
      <c r="NBK166"/>
      <c r="NBL166"/>
      <c r="NBM166"/>
      <c r="NBN166"/>
      <c r="NBO166"/>
      <c r="NBP166"/>
      <c r="NBQ166"/>
      <c r="NBR166"/>
      <c r="NBS166"/>
      <c r="NBT166"/>
      <c r="NBU166"/>
      <c r="NBV166"/>
      <c r="NBW166"/>
      <c r="NBX166"/>
      <c r="NBY166"/>
      <c r="NBZ166"/>
      <c r="NCA166"/>
      <c r="NCB166"/>
      <c r="NCC166"/>
      <c r="NCD166"/>
      <c r="NCE166"/>
      <c r="NCF166"/>
      <c r="NCG166"/>
      <c r="NCH166"/>
      <c r="NCI166"/>
      <c r="NCJ166"/>
      <c r="NCK166"/>
      <c r="NCL166"/>
      <c r="NCM166"/>
      <c r="NCN166"/>
      <c r="NCO166"/>
      <c r="NCP166"/>
      <c r="NCQ166"/>
      <c r="NCR166"/>
      <c r="NCS166"/>
      <c r="NCT166"/>
      <c r="NCU166"/>
      <c r="NCV166"/>
      <c r="NCW166"/>
      <c r="NCX166"/>
      <c r="NCY166"/>
      <c r="NCZ166"/>
      <c r="NDA166"/>
      <c r="NDB166"/>
      <c r="NDC166"/>
      <c r="NDD166"/>
      <c r="NDE166"/>
      <c r="NDF166"/>
      <c r="NDG166"/>
      <c r="NDH166"/>
      <c r="NDI166"/>
      <c r="NDJ166"/>
      <c r="NDK166"/>
      <c r="NDL166"/>
      <c r="NDM166"/>
      <c r="NDN166"/>
      <c r="NDO166"/>
      <c r="NDP166"/>
      <c r="NDQ166"/>
      <c r="NDR166"/>
      <c r="NDS166"/>
      <c r="NDT166"/>
      <c r="NDU166"/>
      <c r="NDV166"/>
      <c r="NDW166"/>
      <c r="NDX166"/>
      <c r="NDY166"/>
      <c r="NDZ166"/>
      <c r="NEA166"/>
      <c r="NEB166"/>
      <c r="NEC166"/>
      <c r="NED166"/>
      <c r="NEE166"/>
      <c r="NEF166"/>
      <c r="NEG166"/>
      <c r="NEH166"/>
      <c r="NEI166"/>
      <c r="NEJ166"/>
      <c r="NEK166"/>
      <c r="NEL166"/>
      <c r="NEM166"/>
      <c r="NEN166"/>
      <c r="NEO166"/>
      <c r="NEP166"/>
      <c r="NEQ166"/>
      <c r="NER166"/>
      <c r="NES166"/>
      <c r="NET166"/>
      <c r="NEU166"/>
      <c r="NEV166"/>
      <c r="NEW166"/>
      <c r="NEX166"/>
      <c r="NEY166"/>
      <c r="NEZ166"/>
      <c r="NFA166"/>
      <c r="NFB166"/>
      <c r="NFC166"/>
      <c r="NFD166"/>
      <c r="NFE166"/>
      <c r="NFF166"/>
      <c r="NFG166"/>
      <c r="NFH166"/>
      <c r="NFI166"/>
      <c r="NFJ166"/>
      <c r="NFK166"/>
      <c r="NFL166"/>
      <c r="NFM166"/>
      <c r="NFN166"/>
      <c r="NFO166"/>
      <c r="NFP166"/>
      <c r="NFQ166"/>
      <c r="NFR166"/>
      <c r="NFS166"/>
      <c r="NFT166"/>
      <c r="NFU166"/>
      <c r="NFV166"/>
      <c r="NFW166"/>
      <c r="NFX166"/>
      <c r="NFY166"/>
      <c r="NFZ166"/>
      <c r="NGA166"/>
      <c r="NGB166"/>
      <c r="NGC166"/>
      <c r="NGD166"/>
      <c r="NGE166"/>
      <c r="NGF166"/>
      <c r="NGG166"/>
      <c r="NGH166"/>
      <c r="NGI166"/>
      <c r="NGJ166"/>
      <c r="NGK166"/>
      <c r="NGL166"/>
      <c r="NGM166"/>
      <c r="NGN166"/>
      <c r="NGO166"/>
      <c r="NGP166"/>
      <c r="NGQ166"/>
      <c r="NGR166"/>
      <c r="NGS166"/>
      <c r="NGT166"/>
      <c r="NGU166"/>
      <c r="NGV166"/>
      <c r="NGW166"/>
      <c r="NGX166"/>
      <c r="NGY166"/>
      <c r="NGZ166"/>
      <c r="NHA166"/>
      <c r="NHB166"/>
      <c r="NHC166"/>
      <c r="NHD166"/>
      <c r="NHE166"/>
      <c r="NHF166"/>
      <c r="NHG166"/>
      <c r="NHH166"/>
      <c r="NHI166"/>
      <c r="NHJ166"/>
      <c r="NHK166"/>
      <c r="NHL166"/>
      <c r="NHM166"/>
      <c r="NHN166"/>
      <c r="NHO166"/>
      <c r="NHP166"/>
      <c r="NHQ166"/>
      <c r="NHR166"/>
      <c r="NHS166"/>
      <c r="NHT166"/>
      <c r="NHU166"/>
      <c r="NHV166"/>
      <c r="NHW166"/>
      <c r="NHX166"/>
      <c r="NHY166"/>
      <c r="NHZ166"/>
      <c r="NIA166"/>
      <c r="NIB166"/>
      <c r="NIC166"/>
      <c r="NID166"/>
      <c r="NIE166"/>
      <c r="NIF166"/>
      <c r="NIG166"/>
      <c r="NIH166"/>
      <c r="NII166"/>
      <c r="NIJ166"/>
      <c r="NIK166"/>
      <c r="NIL166"/>
      <c r="NIM166"/>
      <c r="NIN166"/>
      <c r="NIO166"/>
      <c r="NIP166"/>
      <c r="NIQ166"/>
      <c r="NIR166"/>
      <c r="NIS166"/>
      <c r="NIT166"/>
      <c r="NIU166"/>
      <c r="NIV166"/>
      <c r="NIW166"/>
      <c r="NIX166"/>
      <c r="NIY166"/>
      <c r="NIZ166"/>
      <c r="NJA166"/>
      <c r="NJB166"/>
      <c r="NJC166"/>
      <c r="NJD166"/>
      <c r="NJE166"/>
      <c r="NJF166"/>
      <c r="NJG166"/>
      <c r="NJH166"/>
      <c r="NJI166"/>
      <c r="NJJ166"/>
      <c r="NJK166"/>
      <c r="NJL166"/>
      <c r="NJM166"/>
      <c r="NJN166"/>
      <c r="NJO166"/>
      <c r="NJP166"/>
      <c r="NJQ166"/>
      <c r="NJR166"/>
      <c r="NJS166"/>
      <c r="NJT166"/>
      <c r="NJU166"/>
      <c r="NJV166"/>
      <c r="NJW166"/>
      <c r="NJX166"/>
      <c r="NJY166"/>
      <c r="NJZ166"/>
      <c r="NKA166"/>
      <c r="NKB166"/>
      <c r="NKC166"/>
      <c r="NKD166"/>
      <c r="NKE166"/>
      <c r="NKF166"/>
      <c r="NKG166"/>
      <c r="NKH166"/>
      <c r="NKI166"/>
      <c r="NKJ166"/>
      <c r="NKK166"/>
      <c r="NKL166"/>
      <c r="NKM166"/>
      <c r="NKN166"/>
      <c r="NKO166"/>
      <c r="NKP166"/>
      <c r="NKQ166"/>
      <c r="NKR166"/>
      <c r="NKS166"/>
      <c r="NKT166"/>
      <c r="NKU166"/>
      <c r="NKV166"/>
      <c r="NKW166"/>
      <c r="NKX166"/>
      <c r="NKY166"/>
      <c r="NKZ166"/>
      <c r="NLA166"/>
      <c r="NLB166"/>
      <c r="NLC166"/>
      <c r="NLD166"/>
      <c r="NLE166"/>
      <c r="NLF166"/>
      <c r="NLG166"/>
      <c r="NLH166"/>
      <c r="NLI166"/>
      <c r="NLJ166"/>
      <c r="NLK166"/>
      <c r="NLL166"/>
      <c r="NLM166"/>
      <c r="NLN166"/>
      <c r="NLO166"/>
      <c r="NLP166"/>
      <c r="NLQ166"/>
      <c r="NLR166"/>
      <c r="NLS166"/>
      <c r="NLT166"/>
      <c r="NLU166"/>
      <c r="NLV166"/>
      <c r="NLW166"/>
      <c r="NLX166"/>
      <c r="NLY166"/>
      <c r="NLZ166"/>
      <c r="NMA166"/>
      <c r="NMB166"/>
      <c r="NMC166"/>
      <c r="NMD166"/>
      <c r="NME166"/>
      <c r="NMF166"/>
      <c r="NMG166"/>
      <c r="NMH166"/>
      <c r="NMI166"/>
      <c r="NMJ166"/>
      <c r="NMK166"/>
      <c r="NML166"/>
      <c r="NMM166"/>
      <c r="NMN166"/>
      <c r="NMO166"/>
      <c r="NMP166"/>
      <c r="NMQ166"/>
      <c r="NMR166"/>
      <c r="NMS166"/>
      <c r="NMT166"/>
      <c r="NMU166"/>
      <c r="NMV166"/>
      <c r="NMW166"/>
      <c r="NMX166"/>
      <c r="NMY166"/>
      <c r="NMZ166"/>
      <c r="NNA166"/>
      <c r="NNB166"/>
      <c r="NNC166"/>
      <c r="NND166"/>
      <c r="NNE166"/>
      <c r="NNF166"/>
      <c r="NNG166"/>
      <c r="NNH166"/>
      <c r="NNI166"/>
      <c r="NNJ166"/>
      <c r="NNK166"/>
      <c r="NNL166"/>
      <c r="NNM166"/>
      <c r="NNN166"/>
      <c r="NNO166"/>
      <c r="NNP166"/>
      <c r="NNQ166"/>
      <c r="NNR166"/>
      <c r="NNS166"/>
      <c r="NNT166"/>
      <c r="NNU166"/>
      <c r="NNV166"/>
      <c r="NNW166"/>
      <c r="NNX166"/>
      <c r="NNY166"/>
      <c r="NNZ166"/>
      <c r="NOA166"/>
      <c r="NOB166"/>
      <c r="NOC166"/>
      <c r="NOD166"/>
      <c r="NOE166"/>
      <c r="NOF166"/>
      <c r="NOG166"/>
      <c r="NOH166"/>
      <c r="NOI166"/>
      <c r="NOJ166"/>
      <c r="NOK166"/>
      <c r="NOL166"/>
      <c r="NOM166"/>
      <c r="NON166"/>
      <c r="NOO166"/>
      <c r="NOP166"/>
      <c r="NOQ166"/>
      <c r="NOR166"/>
      <c r="NOS166"/>
      <c r="NOT166"/>
      <c r="NOU166"/>
      <c r="NOV166"/>
      <c r="NOW166"/>
      <c r="NOX166"/>
      <c r="NOY166"/>
      <c r="NOZ166"/>
      <c r="NPA166"/>
      <c r="NPB166"/>
      <c r="NPC166"/>
      <c r="NPD166"/>
      <c r="NPE166"/>
      <c r="NPF166"/>
      <c r="NPG166"/>
      <c r="NPH166"/>
      <c r="NPI166"/>
      <c r="NPJ166"/>
      <c r="NPK166"/>
      <c r="NPL166"/>
      <c r="NPM166"/>
      <c r="NPN166"/>
      <c r="NPO166"/>
      <c r="NPP166"/>
      <c r="NPQ166"/>
      <c r="NPR166"/>
      <c r="NPS166"/>
      <c r="NPT166"/>
      <c r="NPU166"/>
      <c r="NPV166"/>
      <c r="NPW166"/>
      <c r="NPX166"/>
      <c r="NPY166"/>
      <c r="NPZ166"/>
      <c r="NQA166"/>
      <c r="NQB166"/>
      <c r="NQC166"/>
      <c r="NQD166"/>
      <c r="NQE166"/>
      <c r="NQF166"/>
      <c r="NQG166"/>
      <c r="NQH166"/>
      <c r="NQI166"/>
      <c r="NQJ166"/>
      <c r="NQK166"/>
      <c r="NQL166"/>
      <c r="NQM166"/>
      <c r="NQN166"/>
      <c r="NQO166"/>
      <c r="NQP166"/>
      <c r="NQQ166"/>
      <c r="NQR166"/>
      <c r="NQS166"/>
      <c r="NQT166"/>
      <c r="NQU166"/>
      <c r="NQV166"/>
      <c r="NQW166"/>
      <c r="NQX166"/>
      <c r="NQY166"/>
      <c r="NQZ166"/>
      <c r="NRA166"/>
      <c r="NRB166"/>
      <c r="NRC166"/>
      <c r="NRD166"/>
      <c r="NRE166"/>
      <c r="NRF166"/>
      <c r="NRG166"/>
      <c r="NRH166"/>
      <c r="NRI166"/>
      <c r="NRJ166"/>
      <c r="NRK166"/>
      <c r="NRL166"/>
      <c r="NRM166"/>
      <c r="NRN166"/>
      <c r="NRO166"/>
      <c r="NRP166"/>
      <c r="NRQ166"/>
      <c r="NRR166"/>
      <c r="NRS166"/>
      <c r="NRT166"/>
      <c r="NRU166"/>
      <c r="NRV166"/>
      <c r="NRW166"/>
      <c r="NRX166"/>
      <c r="NRY166"/>
      <c r="NRZ166"/>
      <c r="NSA166"/>
      <c r="NSB166"/>
      <c r="NSC166"/>
      <c r="NSD166"/>
      <c r="NSE166"/>
      <c r="NSF166"/>
      <c r="NSG166"/>
      <c r="NSH166"/>
      <c r="NSI166"/>
      <c r="NSJ166"/>
      <c r="NSK166"/>
      <c r="NSL166"/>
      <c r="NSM166"/>
      <c r="NSN166"/>
      <c r="NSO166"/>
      <c r="NSP166"/>
      <c r="NSQ166"/>
      <c r="NSR166"/>
      <c r="NSS166"/>
      <c r="NST166"/>
      <c r="NSU166"/>
      <c r="NSV166"/>
      <c r="NSW166"/>
      <c r="NSX166"/>
      <c r="NSY166"/>
      <c r="NSZ166"/>
      <c r="NTA166"/>
      <c r="NTB166"/>
      <c r="NTC166"/>
      <c r="NTD166"/>
      <c r="NTE166"/>
      <c r="NTF166"/>
      <c r="NTG166"/>
      <c r="NTH166"/>
      <c r="NTI166"/>
      <c r="NTJ166"/>
      <c r="NTK166"/>
      <c r="NTL166"/>
      <c r="NTM166"/>
      <c r="NTN166"/>
      <c r="NTO166"/>
      <c r="NTP166"/>
      <c r="NTQ166"/>
      <c r="NTR166"/>
      <c r="NTS166"/>
      <c r="NTT166"/>
      <c r="NTU166"/>
      <c r="NTV166"/>
      <c r="NTW166"/>
      <c r="NTX166"/>
      <c r="NTY166"/>
      <c r="NTZ166"/>
      <c r="NUA166"/>
      <c r="NUB166"/>
      <c r="NUC166"/>
      <c r="NUD166"/>
      <c r="NUE166"/>
      <c r="NUF166"/>
      <c r="NUG166"/>
      <c r="NUH166"/>
      <c r="NUI166"/>
      <c r="NUJ166"/>
      <c r="NUK166"/>
      <c r="NUL166"/>
      <c r="NUM166"/>
      <c r="NUN166"/>
      <c r="NUO166"/>
      <c r="NUP166"/>
      <c r="NUQ166"/>
      <c r="NUR166"/>
      <c r="NUS166"/>
      <c r="NUT166"/>
      <c r="NUU166"/>
      <c r="NUV166"/>
      <c r="NUW166"/>
      <c r="NUX166"/>
      <c r="NUY166"/>
      <c r="NUZ166"/>
      <c r="NVA166"/>
      <c r="NVB166"/>
      <c r="NVC166"/>
      <c r="NVD166"/>
      <c r="NVE166"/>
      <c r="NVF166"/>
      <c r="NVG166"/>
      <c r="NVH166"/>
      <c r="NVI166"/>
      <c r="NVJ166"/>
      <c r="NVK166"/>
      <c r="NVL166"/>
      <c r="NVM166"/>
      <c r="NVN166"/>
      <c r="NVO166"/>
      <c r="NVP166"/>
      <c r="NVQ166"/>
      <c r="NVR166"/>
      <c r="NVS166"/>
      <c r="NVT166"/>
      <c r="NVU166"/>
      <c r="NVV166"/>
      <c r="NVW166"/>
      <c r="NVX166"/>
      <c r="NVY166"/>
      <c r="NVZ166"/>
      <c r="NWA166"/>
      <c r="NWB166"/>
      <c r="NWC166"/>
      <c r="NWD166"/>
      <c r="NWE166"/>
      <c r="NWF166"/>
      <c r="NWG166"/>
      <c r="NWH166"/>
      <c r="NWI166"/>
      <c r="NWJ166"/>
      <c r="NWK166"/>
      <c r="NWL166"/>
      <c r="NWM166"/>
      <c r="NWN166"/>
      <c r="NWO166"/>
      <c r="NWP166"/>
      <c r="NWQ166"/>
      <c r="NWR166"/>
      <c r="NWS166"/>
      <c r="NWT166"/>
      <c r="NWU166"/>
      <c r="NWV166"/>
      <c r="NWW166"/>
      <c r="NWX166"/>
      <c r="NWY166"/>
      <c r="NWZ166"/>
      <c r="NXA166"/>
      <c r="NXB166"/>
      <c r="NXC166"/>
      <c r="NXD166"/>
      <c r="NXE166"/>
      <c r="NXF166"/>
      <c r="NXG166"/>
      <c r="NXH166"/>
      <c r="NXI166"/>
      <c r="NXJ166"/>
      <c r="NXK166"/>
      <c r="NXL166"/>
      <c r="NXM166"/>
      <c r="NXN166"/>
      <c r="NXO166"/>
      <c r="NXP166"/>
      <c r="NXQ166"/>
      <c r="NXR166"/>
      <c r="NXS166"/>
      <c r="NXT166"/>
      <c r="NXU166"/>
      <c r="NXV166"/>
      <c r="NXW166"/>
      <c r="NXX166"/>
      <c r="NXY166"/>
      <c r="NXZ166"/>
      <c r="NYA166"/>
      <c r="NYB166"/>
      <c r="NYC166"/>
      <c r="NYD166"/>
      <c r="NYE166"/>
      <c r="NYF166"/>
      <c r="NYG166"/>
      <c r="NYH166"/>
      <c r="NYI166"/>
      <c r="NYJ166"/>
      <c r="NYK166"/>
      <c r="NYL166"/>
      <c r="NYM166"/>
      <c r="NYN166"/>
      <c r="NYO166"/>
      <c r="NYP166"/>
      <c r="NYQ166"/>
      <c r="NYR166"/>
      <c r="NYS166"/>
      <c r="NYT166"/>
      <c r="NYU166"/>
      <c r="NYV166"/>
      <c r="NYW166"/>
      <c r="NYX166"/>
      <c r="NYY166"/>
      <c r="NYZ166"/>
      <c r="NZA166"/>
      <c r="NZB166"/>
      <c r="NZC166"/>
      <c r="NZD166"/>
      <c r="NZE166"/>
      <c r="NZF166"/>
      <c r="NZG166"/>
      <c r="NZH166"/>
      <c r="NZI166"/>
      <c r="NZJ166"/>
      <c r="NZK166"/>
      <c r="NZL166"/>
      <c r="NZM166"/>
      <c r="NZN166"/>
      <c r="NZO166"/>
      <c r="NZP166"/>
      <c r="NZQ166"/>
      <c r="NZR166"/>
      <c r="NZS166"/>
      <c r="NZT166"/>
      <c r="NZU166"/>
      <c r="NZV166"/>
      <c r="NZW166"/>
      <c r="NZX166"/>
      <c r="NZY166"/>
      <c r="NZZ166"/>
      <c r="OAA166"/>
      <c r="OAB166"/>
      <c r="OAC166"/>
      <c r="OAD166"/>
      <c r="OAE166"/>
      <c r="OAF166"/>
      <c r="OAG166"/>
      <c r="OAH166"/>
      <c r="OAI166"/>
      <c r="OAJ166"/>
      <c r="OAK166"/>
      <c r="OAL166"/>
      <c r="OAM166"/>
      <c r="OAN166"/>
      <c r="OAO166"/>
      <c r="OAP166"/>
      <c r="OAQ166"/>
      <c r="OAR166"/>
      <c r="OAS166"/>
      <c r="OAT166"/>
      <c r="OAU166"/>
      <c r="OAV166"/>
      <c r="OAW166"/>
      <c r="OAX166"/>
      <c r="OAY166"/>
      <c r="OAZ166"/>
      <c r="OBA166"/>
      <c r="OBB166"/>
      <c r="OBC166"/>
      <c r="OBD166"/>
      <c r="OBE166"/>
      <c r="OBF166"/>
      <c r="OBG166"/>
      <c r="OBH166"/>
      <c r="OBI166"/>
      <c r="OBJ166"/>
      <c r="OBK166"/>
      <c r="OBL166"/>
      <c r="OBM166"/>
      <c r="OBN166"/>
      <c r="OBO166"/>
      <c r="OBP166"/>
      <c r="OBQ166"/>
      <c r="OBR166"/>
      <c r="OBS166"/>
      <c r="OBT166"/>
      <c r="OBU166"/>
      <c r="OBV166"/>
      <c r="OBW166"/>
      <c r="OBX166"/>
      <c r="OBY166"/>
      <c r="OBZ166"/>
      <c r="OCA166"/>
      <c r="OCB166"/>
      <c r="OCC166"/>
      <c r="OCD166"/>
      <c r="OCE166"/>
      <c r="OCF166"/>
      <c r="OCG166"/>
      <c r="OCH166"/>
      <c r="OCI166"/>
      <c r="OCJ166"/>
      <c r="OCK166"/>
      <c r="OCL166"/>
      <c r="OCM166"/>
      <c r="OCN166"/>
      <c r="OCO166"/>
      <c r="OCP166"/>
      <c r="OCQ166"/>
      <c r="OCR166"/>
      <c r="OCS166"/>
      <c r="OCT166"/>
      <c r="OCU166"/>
      <c r="OCV166"/>
      <c r="OCW166"/>
      <c r="OCX166"/>
      <c r="OCY166"/>
      <c r="OCZ166"/>
      <c r="ODA166"/>
      <c r="ODB166"/>
      <c r="ODC166"/>
      <c r="ODD166"/>
      <c r="ODE166"/>
      <c r="ODF166"/>
      <c r="ODG166"/>
      <c r="ODH166"/>
      <c r="ODI166"/>
      <c r="ODJ166"/>
      <c r="ODK166"/>
      <c r="ODL166"/>
      <c r="ODM166"/>
      <c r="ODN166"/>
      <c r="ODO166"/>
      <c r="ODP166"/>
      <c r="ODQ166"/>
      <c r="ODR166"/>
      <c r="ODS166"/>
      <c r="ODT166"/>
      <c r="ODU166"/>
      <c r="ODV166"/>
      <c r="ODW166"/>
      <c r="ODX166"/>
      <c r="ODY166"/>
      <c r="ODZ166"/>
      <c r="OEA166"/>
      <c r="OEB166"/>
      <c r="OEC166"/>
      <c r="OED166"/>
      <c r="OEE166"/>
      <c r="OEF166"/>
      <c r="OEG166"/>
      <c r="OEH166"/>
      <c r="OEI166"/>
      <c r="OEJ166"/>
      <c r="OEK166"/>
      <c r="OEL166"/>
      <c r="OEM166"/>
      <c r="OEN166"/>
      <c r="OEO166"/>
      <c r="OEP166"/>
      <c r="OEQ166"/>
      <c r="OER166"/>
      <c r="OES166"/>
      <c r="OET166"/>
      <c r="OEU166"/>
      <c r="OEV166"/>
      <c r="OEW166"/>
      <c r="OEX166"/>
      <c r="OEY166"/>
      <c r="OEZ166"/>
      <c r="OFA166"/>
      <c r="OFB166"/>
      <c r="OFC166"/>
      <c r="OFD166"/>
      <c r="OFE166"/>
      <c r="OFF166"/>
      <c r="OFG166"/>
      <c r="OFH166"/>
      <c r="OFI166"/>
      <c r="OFJ166"/>
      <c r="OFK166"/>
      <c r="OFL166"/>
      <c r="OFM166"/>
      <c r="OFN166"/>
      <c r="OFO166"/>
      <c r="OFP166"/>
      <c r="OFQ166"/>
      <c r="OFR166"/>
      <c r="OFS166"/>
      <c r="OFT166"/>
      <c r="OFU166"/>
      <c r="OFV166"/>
      <c r="OFW166"/>
      <c r="OFX166"/>
      <c r="OFY166"/>
      <c r="OFZ166"/>
      <c r="OGA166"/>
      <c r="OGB166"/>
      <c r="OGC166"/>
      <c r="OGD166"/>
      <c r="OGE166"/>
      <c r="OGF166"/>
      <c r="OGG166"/>
      <c r="OGH166"/>
      <c r="OGI166"/>
      <c r="OGJ166"/>
      <c r="OGK166"/>
      <c r="OGL166"/>
      <c r="OGM166"/>
      <c r="OGN166"/>
      <c r="OGO166"/>
      <c r="OGP166"/>
      <c r="OGQ166"/>
      <c r="OGR166"/>
      <c r="OGS166"/>
      <c r="OGT166"/>
      <c r="OGU166"/>
      <c r="OGV166"/>
      <c r="OGW166"/>
      <c r="OGX166"/>
      <c r="OGY166"/>
      <c r="OGZ166"/>
      <c r="OHA166"/>
      <c r="OHB166"/>
      <c r="OHC166"/>
      <c r="OHD166"/>
      <c r="OHE166"/>
      <c r="OHF166"/>
      <c r="OHG166"/>
      <c r="OHH166"/>
      <c r="OHI166"/>
      <c r="OHJ166"/>
      <c r="OHK166"/>
      <c r="OHL166"/>
      <c r="OHM166"/>
      <c r="OHN166"/>
      <c r="OHO166"/>
      <c r="OHP166"/>
      <c r="OHQ166"/>
      <c r="OHR166"/>
      <c r="OHS166"/>
      <c r="OHT166"/>
      <c r="OHU166"/>
      <c r="OHV166"/>
      <c r="OHW166"/>
      <c r="OHX166"/>
      <c r="OHY166"/>
      <c r="OHZ166"/>
      <c r="OIA166"/>
      <c r="OIB166"/>
      <c r="OIC166"/>
      <c r="OID166"/>
      <c r="OIE166"/>
      <c r="OIF166"/>
      <c r="OIG166"/>
      <c r="OIH166"/>
      <c r="OII166"/>
      <c r="OIJ166"/>
      <c r="OIK166"/>
      <c r="OIL166"/>
      <c r="OIM166"/>
      <c r="OIN166"/>
      <c r="OIO166"/>
      <c r="OIP166"/>
      <c r="OIQ166"/>
      <c r="OIR166"/>
      <c r="OIS166"/>
      <c r="OIT166"/>
      <c r="OIU166"/>
      <c r="OIV166"/>
      <c r="OIW166"/>
      <c r="OIX166"/>
      <c r="OIY166"/>
      <c r="OIZ166"/>
      <c r="OJA166"/>
      <c r="OJB166"/>
      <c r="OJC166"/>
      <c r="OJD166"/>
      <c r="OJE166"/>
      <c r="OJF166"/>
      <c r="OJG166"/>
      <c r="OJH166"/>
      <c r="OJI166"/>
      <c r="OJJ166"/>
      <c r="OJK166"/>
      <c r="OJL166"/>
      <c r="OJM166"/>
      <c r="OJN166"/>
      <c r="OJO166"/>
      <c r="OJP166"/>
      <c r="OJQ166"/>
      <c r="OJR166"/>
      <c r="OJS166"/>
      <c r="OJT166"/>
      <c r="OJU166"/>
      <c r="OJV166"/>
      <c r="OJW166"/>
      <c r="OJX166"/>
      <c r="OJY166"/>
      <c r="OJZ166"/>
      <c r="OKA166"/>
      <c r="OKB166"/>
      <c r="OKC166"/>
      <c r="OKD166"/>
      <c r="OKE166"/>
      <c r="OKF166"/>
      <c r="OKG166"/>
      <c r="OKH166"/>
      <c r="OKI166"/>
      <c r="OKJ166"/>
      <c r="OKK166"/>
      <c r="OKL166"/>
      <c r="OKM166"/>
      <c r="OKN166"/>
      <c r="OKO166"/>
      <c r="OKP166"/>
      <c r="OKQ166"/>
      <c r="OKR166"/>
      <c r="OKS166"/>
      <c r="OKT166"/>
      <c r="OKU166"/>
      <c r="OKV166"/>
      <c r="OKW166"/>
      <c r="OKX166"/>
      <c r="OKY166"/>
      <c r="OKZ166"/>
      <c r="OLA166"/>
      <c r="OLB166"/>
      <c r="OLC166"/>
      <c r="OLD166"/>
      <c r="OLE166"/>
      <c r="OLF166"/>
      <c r="OLG166"/>
      <c r="OLH166"/>
      <c r="OLI166"/>
      <c r="OLJ166"/>
      <c r="OLK166"/>
      <c r="OLL166"/>
      <c r="OLM166"/>
      <c r="OLN166"/>
      <c r="OLO166"/>
      <c r="OLP166"/>
      <c r="OLQ166"/>
      <c r="OLR166"/>
      <c r="OLS166"/>
      <c r="OLT166"/>
      <c r="OLU166"/>
      <c r="OLV166"/>
      <c r="OLW166"/>
      <c r="OLX166"/>
      <c r="OLY166"/>
      <c r="OLZ166"/>
      <c r="OMA166"/>
      <c r="OMB166"/>
      <c r="OMC166"/>
      <c r="OMD166"/>
      <c r="OME166"/>
      <c r="OMF166"/>
      <c r="OMG166"/>
      <c r="OMH166"/>
      <c r="OMI166"/>
      <c r="OMJ166"/>
      <c r="OMK166"/>
      <c r="OML166"/>
      <c r="OMM166"/>
      <c r="OMN166"/>
      <c r="OMO166"/>
      <c r="OMP166"/>
      <c r="OMQ166"/>
      <c r="OMR166"/>
      <c r="OMS166"/>
      <c r="OMT166"/>
      <c r="OMU166"/>
      <c r="OMV166"/>
      <c r="OMW166"/>
      <c r="OMX166"/>
      <c r="OMY166"/>
      <c r="OMZ166"/>
      <c r="ONA166"/>
      <c r="ONB166"/>
      <c r="ONC166"/>
      <c r="OND166"/>
      <c r="ONE166"/>
      <c r="ONF166"/>
      <c r="ONG166"/>
      <c r="ONH166"/>
      <c r="ONI166"/>
      <c r="ONJ166"/>
      <c r="ONK166"/>
      <c r="ONL166"/>
      <c r="ONM166"/>
      <c r="ONN166"/>
      <c r="ONO166"/>
      <c r="ONP166"/>
      <c r="ONQ166"/>
      <c r="ONR166"/>
      <c r="ONS166"/>
      <c r="ONT166"/>
      <c r="ONU166"/>
      <c r="ONV166"/>
      <c r="ONW166"/>
      <c r="ONX166"/>
      <c r="ONY166"/>
      <c r="ONZ166"/>
      <c r="OOA166"/>
      <c r="OOB166"/>
      <c r="OOC166"/>
      <c r="OOD166"/>
      <c r="OOE166"/>
      <c r="OOF166"/>
      <c r="OOG166"/>
      <c r="OOH166"/>
      <c r="OOI166"/>
      <c r="OOJ166"/>
      <c r="OOK166"/>
      <c r="OOL166"/>
      <c r="OOM166"/>
      <c r="OON166"/>
      <c r="OOO166"/>
      <c r="OOP166"/>
      <c r="OOQ166"/>
      <c r="OOR166"/>
      <c r="OOS166"/>
      <c r="OOT166"/>
      <c r="OOU166"/>
      <c r="OOV166"/>
      <c r="OOW166"/>
      <c r="OOX166"/>
      <c r="OOY166"/>
      <c r="OOZ166"/>
      <c r="OPA166"/>
      <c r="OPB166"/>
      <c r="OPC166"/>
      <c r="OPD166"/>
      <c r="OPE166"/>
      <c r="OPF166"/>
      <c r="OPG166"/>
      <c r="OPH166"/>
      <c r="OPI166"/>
      <c r="OPJ166"/>
      <c r="OPK166"/>
      <c r="OPL166"/>
      <c r="OPM166"/>
      <c r="OPN166"/>
      <c r="OPO166"/>
      <c r="OPP166"/>
      <c r="OPQ166"/>
      <c r="OPR166"/>
      <c r="OPS166"/>
      <c r="OPT166"/>
      <c r="OPU166"/>
      <c r="OPV166"/>
      <c r="OPW166"/>
      <c r="OPX166"/>
      <c r="OPY166"/>
      <c r="OPZ166"/>
      <c r="OQA166"/>
      <c r="OQB166"/>
      <c r="OQC166"/>
      <c r="OQD166"/>
      <c r="OQE166"/>
      <c r="OQF166"/>
      <c r="OQG166"/>
      <c r="OQH166"/>
      <c r="OQI166"/>
      <c r="OQJ166"/>
      <c r="OQK166"/>
      <c r="OQL166"/>
      <c r="OQM166"/>
      <c r="OQN166"/>
      <c r="OQO166"/>
      <c r="OQP166"/>
      <c r="OQQ166"/>
      <c r="OQR166"/>
      <c r="OQS166"/>
      <c r="OQT166"/>
      <c r="OQU166"/>
      <c r="OQV166"/>
      <c r="OQW166"/>
      <c r="OQX166"/>
      <c r="OQY166"/>
      <c r="OQZ166"/>
      <c r="ORA166"/>
      <c r="ORB166"/>
      <c r="ORC166"/>
      <c r="ORD166"/>
      <c r="ORE166"/>
      <c r="ORF166"/>
      <c r="ORG166"/>
      <c r="ORH166"/>
      <c r="ORI166"/>
      <c r="ORJ166"/>
      <c r="ORK166"/>
      <c r="ORL166"/>
      <c r="ORM166"/>
      <c r="ORN166"/>
      <c r="ORO166"/>
      <c r="ORP166"/>
      <c r="ORQ166"/>
      <c r="ORR166"/>
      <c r="ORS166"/>
      <c r="ORT166"/>
      <c r="ORU166"/>
      <c r="ORV166"/>
      <c r="ORW166"/>
      <c r="ORX166"/>
      <c r="ORY166"/>
      <c r="ORZ166"/>
      <c r="OSA166"/>
      <c r="OSB166"/>
      <c r="OSC166"/>
      <c r="OSD166"/>
      <c r="OSE166"/>
      <c r="OSF166"/>
      <c r="OSG166"/>
      <c r="OSH166"/>
      <c r="OSI166"/>
      <c r="OSJ166"/>
      <c r="OSK166"/>
      <c r="OSL166"/>
      <c r="OSM166"/>
      <c r="OSN166"/>
      <c r="OSO166"/>
      <c r="OSP166"/>
      <c r="OSQ166"/>
      <c r="OSR166"/>
      <c r="OSS166"/>
      <c r="OST166"/>
      <c r="OSU166"/>
      <c r="OSV166"/>
      <c r="OSW166"/>
      <c r="OSX166"/>
      <c r="OSY166"/>
      <c r="OSZ166"/>
      <c r="OTA166"/>
      <c r="OTB166"/>
      <c r="OTC166"/>
      <c r="OTD166"/>
      <c r="OTE166"/>
      <c r="OTF166"/>
      <c r="OTG166"/>
      <c r="OTH166"/>
      <c r="OTI166"/>
      <c r="OTJ166"/>
      <c r="OTK166"/>
      <c r="OTL166"/>
      <c r="OTM166"/>
      <c r="OTN166"/>
      <c r="OTO166"/>
      <c r="OTP166"/>
      <c r="OTQ166"/>
      <c r="OTR166"/>
      <c r="OTS166"/>
      <c r="OTT166"/>
      <c r="OTU166"/>
      <c r="OTV166"/>
      <c r="OTW166"/>
      <c r="OTX166"/>
      <c r="OTY166"/>
      <c r="OTZ166"/>
      <c r="OUA166"/>
      <c r="OUB166"/>
      <c r="OUC166"/>
      <c r="OUD166"/>
      <c r="OUE166"/>
      <c r="OUF166"/>
      <c r="OUG166"/>
      <c r="OUH166"/>
      <c r="OUI166"/>
      <c r="OUJ166"/>
      <c r="OUK166"/>
      <c r="OUL166"/>
      <c r="OUM166"/>
      <c r="OUN166"/>
      <c r="OUO166"/>
      <c r="OUP166"/>
      <c r="OUQ166"/>
      <c r="OUR166"/>
      <c r="OUS166"/>
      <c r="OUT166"/>
      <c r="OUU166"/>
      <c r="OUV166"/>
      <c r="OUW166"/>
      <c r="OUX166"/>
      <c r="OUY166"/>
      <c r="OUZ166"/>
      <c r="OVA166"/>
      <c r="OVB166"/>
      <c r="OVC166"/>
      <c r="OVD166"/>
      <c r="OVE166"/>
      <c r="OVF166"/>
      <c r="OVG166"/>
      <c r="OVH166"/>
      <c r="OVI166"/>
      <c r="OVJ166"/>
      <c r="OVK166"/>
      <c r="OVL166"/>
      <c r="OVM166"/>
      <c r="OVN166"/>
      <c r="OVO166"/>
      <c r="OVP166"/>
      <c r="OVQ166"/>
      <c r="OVR166"/>
      <c r="OVS166"/>
      <c r="OVT166"/>
      <c r="OVU166"/>
      <c r="OVV166"/>
      <c r="OVW166"/>
      <c r="OVX166"/>
      <c r="OVY166"/>
      <c r="OVZ166"/>
      <c r="OWA166"/>
      <c r="OWB166"/>
      <c r="OWC166"/>
      <c r="OWD166"/>
      <c r="OWE166"/>
      <c r="OWF166"/>
      <c r="OWG166"/>
      <c r="OWH166"/>
      <c r="OWI166"/>
      <c r="OWJ166"/>
      <c r="OWK166"/>
      <c r="OWL166"/>
      <c r="OWM166"/>
      <c r="OWN166"/>
      <c r="OWO166"/>
      <c r="OWP166"/>
      <c r="OWQ166"/>
      <c r="OWR166"/>
      <c r="OWS166"/>
      <c r="OWT166"/>
      <c r="OWU166"/>
      <c r="OWV166"/>
      <c r="OWW166"/>
      <c r="OWX166"/>
      <c r="OWY166"/>
      <c r="OWZ166"/>
      <c r="OXA166"/>
      <c r="OXB166"/>
      <c r="OXC166"/>
      <c r="OXD166"/>
      <c r="OXE166"/>
      <c r="OXF166"/>
      <c r="OXG166"/>
      <c r="OXH166"/>
      <c r="OXI166"/>
      <c r="OXJ166"/>
      <c r="OXK166"/>
      <c r="OXL166"/>
      <c r="OXM166"/>
      <c r="OXN166"/>
      <c r="OXO166"/>
      <c r="OXP166"/>
      <c r="OXQ166"/>
      <c r="OXR166"/>
      <c r="OXS166"/>
      <c r="OXT166"/>
      <c r="OXU166"/>
      <c r="OXV166"/>
      <c r="OXW166"/>
      <c r="OXX166"/>
      <c r="OXY166"/>
      <c r="OXZ166"/>
      <c r="OYA166"/>
      <c r="OYB166"/>
      <c r="OYC166"/>
      <c r="OYD166"/>
      <c r="OYE166"/>
      <c r="OYF166"/>
      <c r="OYG166"/>
      <c r="OYH166"/>
      <c r="OYI166"/>
      <c r="OYJ166"/>
      <c r="OYK166"/>
      <c r="OYL166"/>
      <c r="OYM166"/>
      <c r="OYN166"/>
      <c r="OYO166"/>
      <c r="OYP166"/>
      <c r="OYQ166"/>
      <c r="OYR166"/>
      <c r="OYS166"/>
      <c r="OYT166"/>
      <c r="OYU166"/>
      <c r="OYV166"/>
      <c r="OYW166"/>
      <c r="OYX166"/>
      <c r="OYY166"/>
      <c r="OYZ166"/>
      <c r="OZA166"/>
      <c r="OZB166"/>
      <c r="OZC166"/>
      <c r="OZD166"/>
      <c r="OZE166"/>
      <c r="OZF166"/>
      <c r="OZG166"/>
      <c r="OZH166"/>
      <c r="OZI166"/>
      <c r="OZJ166"/>
      <c r="OZK166"/>
      <c r="OZL166"/>
      <c r="OZM166"/>
      <c r="OZN166"/>
      <c r="OZO166"/>
      <c r="OZP166"/>
      <c r="OZQ166"/>
      <c r="OZR166"/>
      <c r="OZS166"/>
      <c r="OZT166"/>
      <c r="OZU166"/>
      <c r="OZV166"/>
      <c r="OZW166"/>
      <c r="OZX166"/>
      <c r="OZY166"/>
      <c r="OZZ166"/>
      <c r="PAA166"/>
      <c r="PAB166"/>
      <c r="PAC166"/>
      <c r="PAD166"/>
      <c r="PAE166"/>
      <c r="PAF166"/>
      <c r="PAG166"/>
      <c r="PAH166"/>
      <c r="PAI166"/>
      <c r="PAJ166"/>
      <c r="PAK166"/>
      <c r="PAL166"/>
      <c r="PAM166"/>
      <c r="PAN166"/>
      <c r="PAO166"/>
      <c r="PAP166"/>
      <c r="PAQ166"/>
      <c r="PAR166"/>
      <c r="PAS166"/>
      <c r="PAT166"/>
      <c r="PAU166"/>
      <c r="PAV166"/>
      <c r="PAW166"/>
      <c r="PAX166"/>
      <c r="PAY166"/>
      <c r="PAZ166"/>
      <c r="PBA166"/>
      <c r="PBB166"/>
      <c r="PBC166"/>
      <c r="PBD166"/>
      <c r="PBE166"/>
      <c r="PBF166"/>
      <c r="PBG166"/>
      <c r="PBH166"/>
      <c r="PBI166"/>
      <c r="PBJ166"/>
      <c r="PBK166"/>
      <c r="PBL166"/>
      <c r="PBM166"/>
      <c r="PBN166"/>
      <c r="PBO166"/>
      <c r="PBP166"/>
      <c r="PBQ166"/>
      <c r="PBR166"/>
      <c r="PBS166"/>
      <c r="PBT166"/>
      <c r="PBU166"/>
      <c r="PBV166"/>
      <c r="PBW166"/>
      <c r="PBX166"/>
      <c r="PBY166"/>
      <c r="PBZ166"/>
      <c r="PCA166"/>
      <c r="PCB166"/>
      <c r="PCC166"/>
      <c r="PCD166"/>
      <c r="PCE166"/>
      <c r="PCF166"/>
      <c r="PCG166"/>
      <c r="PCH166"/>
      <c r="PCI166"/>
      <c r="PCJ166"/>
      <c r="PCK166"/>
      <c r="PCL166"/>
      <c r="PCM166"/>
      <c r="PCN166"/>
      <c r="PCO166"/>
      <c r="PCP166"/>
      <c r="PCQ166"/>
      <c r="PCR166"/>
      <c r="PCS166"/>
      <c r="PCT166"/>
      <c r="PCU166"/>
      <c r="PCV166"/>
      <c r="PCW166"/>
      <c r="PCX166"/>
      <c r="PCY166"/>
      <c r="PCZ166"/>
      <c r="PDA166"/>
      <c r="PDB166"/>
      <c r="PDC166"/>
      <c r="PDD166"/>
      <c r="PDE166"/>
      <c r="PDF166"/>
      <c r="PDG166"/>
      <c r="PDH166"/>
      <c r="PDI166"/>
      <c r="PDJ166"/>
      <c r="PDK166"/>
      <c r="PDL166"/>
      <c r="PDM166"/>
      <c r="PDN166"/>
      <c r="PDO166"/>
      <c r="PDP166"/>
      <c r="PDQ166"/>
      <c r="PDR166"/>
      <c r="PDS166"/>
      <c r="PDT166"/>
      <c r="PDU166"/>
      <c r="PDV166"/>
      <c r="PDW166"/>
      <c r="PDX166"/>
      <c r="PDY166"/>
      <c r="PDZ166"/>
      <c r="PEA166"/>
      <c r="PEB166"/>
      <c r="PEC166"/>
      <c r="PED166"/>
      <c r="PEE166"/>
      <c r="PEF166"/>
      <c r="PEG166"/>
      <c r="PEH166"/>
      <c r="PEI166"/>
      <c r="PEJ166"/>
      <c r="PEK166"/>
      <c r="PEL166"/>
      <c r="PEM166"/>
      <c r="PEN166"/>
      <c r="PEO166"/>
      <c r="PEP166"/>
      <c r="PEQ166"/>
      <c r="PER166"/>
      <c r="PES166"/>
      <c r="PET166"/>
      <c r="PEU166"/>
      <c r="PEV166"/>
      <c r="PEW166"/>
      <c r="PEX166"/>
      <c r="PEY166"/>
      <c r="PEZ166"/>
      <c r="PFA166"/>
      <c r="PFB166"/>
      <c r="PFC166"/>
      <c r="PFD166"/>
      <c r="PFE166"/>
      <c r="PFF166"/>
      <c r="PFG166"/>
      <c r="PFH166"/>
      <c r="PFI166"/>
      <c r="PFJ166"/>
      <c r="PFK166"/>
      <c r="PFL166"/>
      <c r="PFM166"/>
      <c r="PFN166"/>
      <c r="PFO166"/>
      <c r="PFP166"/>
      <c r="PFQ166"/>
      <c r="PFR166"/>
      <c r="PFS166"/>
      <c r="PFT166"/>
      <c r="PFU166"/>
      <c r="PFV166"/>
      <c r="PFW166"/>
      <c r="PFX166"/>
      <c r="PFY166"/>
      <c r="PFZ166"/>
      <c r="PGA166"/>
      <c r="PGB166"/>
      <c r="PGC166"/>
      <c r="PGD166"/>
      <c r="PGE166"/>
      <c r="PGF166"/>
      <c r="PGG166"/>
      <c r="PGH166"/>
      <c r="PGI166"/>
      <c r="PGJ166"/>
      <c r="PGK166"/>
      <c r="PGL166"/>
      <c r="PGM166"/>
      <c r="PGN166"/>
      <c r="PGO166"/>
      <c r="PGP166"/>
      <c r="PGQ166"/>
      <c r="PGR166"/>
      <c r="PGS166"/>
      <c r="PGT166"/>
      <c r="PGU166"/>
      <c r="PGV166"/>
      <c r="PGW166"/>
      <c r="PGX166"/>
      <c r="PGY166"/>
      <c r="PGZ166"/>
      <c r="PHA166"/>
      <c r="PHB166"/>
      <c r="PHC166"/>
      <c r="PHD166"/>
      <c r="PHE166"/>
      <c r="PHF166"/>
      <c r="PHG166"/>
      <c r="PHH166"/>
      <c r="PHI166"/>
      <c r="PHJ166"/>
      <c r="PHK166"/>
      <c r="PHL166"/>
      <c r="PHM166"/>
      <c r="PHN166"/>
      <c r="PHO166"/>
      <c r="PHP166"/>
      <c r="PHQ166"/>
      <c r="PHR166"/>
      <c r="PHS166"/>
      <c r="PHT166"/>
      <c r="PHU166"/>
      <c r="PHV166"/>
      <c r="PHW166"/>
      <c r="PHX166"/>
      <c r="PHY166"/>
      <c r="PHZ166"/>
      <c r="PIA166"/>
      <c r="PIB166"/>
      <c r="PIC166"/>
      <c r="PID166"/>
      <c r="PIE166"/>
      <c r="PIF166"/>
      <c r="PIG166"/>
      <c r="PIH166"/>
      <c r="PII166"/>
      <c r="PIJ166"/>
      <c r="PIK166"/>
      <c r="PIL166"/>
      <c r="PIM166"/>
      <c r="PIN166"/>
      <c r="PIO166"/>
      <c r="PIP166"/>
      <c r="PIQ166"/>
      <c r="PIR166"/>
      <c r="PIS166"/>
      <c r="PIT166"/>
      <c r="PIU166"/>
      <c r="PIV166"/>
      <c r="PIW166"/>
      <c r="PIX166"/>
      <c r="PIY166"/>
      <c r="PIZ166"/>
      <c r="PJA166"/>
      <c r="PJB166"/>
      <c r="PJC166"/>
      <c r="PJD166"/>
      <c r="PJE166"/>
      <c r="PJF166"/>
      <c r="PJG166"/>
      <c r="PJH166"/>
      <c r="PJI166"/>
      <c r="PJJ166"/>
      <c r="PJK166"/>
      <c r="PJL166"/>
      <c r="PJM166"/>
      <c r="PJN166"/>
      <c r="PJO166"/>
      <c r="PJP166"/>
      <c r="PJQ166"/>
      <c r="PJR166"/>
      <c r="PJS166"/>
      <c r="PJT166"/>
      <c r="PJU166"/>
      <c r="PJV166"/>
      <c r="PJW166"/>
      <c r="PJX166"/>
      <c r="PJY166"/>
      <c r="PJZ166"/>
      <c r="PKA166"/>
      <c r="PKB166"/>
      <c r="PKC166"/>
      <c r="PKD166"/>
      <c r="PKE166"/>
      <c r="PKF166"/>
      <c r="PKG166"/>
      <c r="PKH166"/>
      <c r="PKI166"/>
      <c r="PKJ166"/>
      <c r="PKK166"/>
      <c r="PKL166"/>
      <c r="PKM166"/>
      <c r="PKN166"/>
      <c r="PKO166"/>
      <c r="PKP166"/>
      <c r="PKQ166"/>
      <c r="PKR166"/>
      <c r="PKS166"/>
      <c r="PKT166"/>
      <c r="PKU166"/>
      <c r="PKV166"/>
      <c r="PKW166"/>
      <c r="PKX166"/>
      <c r="PKY166"/>
      <c r="PKZ166"/>
      <c r="PLA166"/>
      <c r="PLB166"/>
      <c r="PLC166"/>
      <c r="PLD166"/>
      <c r="PLE166"/>
      <c r="PLF166"/>
      <c r="PLG166"/>
      <c r="PLH166"/>
      <c r="PLI166"/>
      <c r="PLJ166"/>
      <c r="PLK166"/>
      <c r="PLL166"/>
      <c r="PLM166"/>
      <c r="PLN166"/>
      <c r="PLO166"/>
      <c r="PLP166"/>
      <c r="PLQ166"/>
      <c r="PLR166"/>
      <c r="PLS166"/>
      <c r="PLT166"/>
      <c r="PLU166"/>
      <c r="PLV166"/>
      <c r="PLW166"/>
      <c r="PLX166"/>
      <c r="PLY166"/>
      <c r="PLZ166"/>
      <c r="PMA166"/>
      <c r="PMB166"/>
      <c r="PMC166"/>
      <c r="PMD166"/>
      <c r="PME166"/>
      <c r="PMF166"/>
      <c r="PMG166"/>
      <c r="PMH166"/>
      <c r="PMI166"/>
      <c r="PMJ166"/>
      <c r="PMK166"/>
      <c r="PML166"/>
      <c r="PMM166"/>
      <c r="PMN166"/>
      <c r="PMO166"/>
      <c r="PMP166"/>
      <c r="PMQ166"/>
      <c r="PMR166"/>
      <c r="PMS166"/>
      <c r="PMT166"/>
      <c r="PMU166"/>
      <c r="PMV166"/>
      <c r="PMW166"/>
      <c r="PMX166"/>
      <c r="PMY166"/>
      <c r="PMZ166"/>
      <c r="PNA166"/>
      <c r="PNB166"/>
      <c r="PNC166"/>
      <c r="PND166"/>
      <c r="PNE166"/>
      <c r="PNF166"/>
      <c r="PNG166"/>
      <c r="PNH166"/>
      <c r="PNI166"/>
      <c r="PNJ166"/>
      <c r="PNK166"/>
      <c r="PNL166"/>
      <c r="PNM166"/>
      <c r="PNN166"/>
      <c r="PNO166"/>
      <c r="PNP166"/>
      <c r="PNQ166"/>
      <c r="PNR166"/>
      <c r="PNS166"/>
      <c r="PNT166"/>
      <c r="PNU166"/>
      <c r="PNV166"/>
      <c r="PNW166"/>
      <c r="PNX166"/>
      <c r="PNY166"/>
      <c r="PNZ166"/>
      <c r="POA166"/>
      <c r="POB166"/>
      <c r="POC166"/>
      <c r="POD166"/>
      <c r="POE166"/>
      <c r="POF166"/>
      <c r="POG166"/>
      <c r="POH166"/>
      <c r="POI166"/>
      <c r="POJ166"/>
      <c r="POK166"/>
      <c r="POL166"/>
      <c r="POM166"/>
      <c r="PON166"/>
      <c r="POO166"/>
      <c r="POP166"/>
      <c r="POQ166"/>
      <c r="POR166"/>
      <c r="POS166"/>
      <c r="POT166"/>
      <c r="POU166"/>
      <c r="POV166"/>
      <c r="POW166"/>
      <c r="POX166"/>
      <c r="POY166"/>
      <c r="POZ166"/>
      <c r="PPA166"/>
      <c r="PPB166"/>
      <c r="PPC166"/>
      <c r="PPD166"/>
      <c r="PPE166"/>
      <c r="PPF166"/>
      <c r="PPG166"/>
      <c r="PPH166"/>
      <c r="PPI166"/>
      <c r="PPJ166"/>
      <c r="PPK166"/>
      <c r="PPL166"/>
      <c r="PPM166"/>
      <c r="PPN166"/>
      <c r="PPO166"/>
      <c r="PPP166"/>
      <c r="PPQ166"/>
      <c r="PPR166"/>
      <c r="PPS166"/>
      <c r="PPT166"/>
      <c r="PPU166"/>
      <c r="PPV166"/>
      <c r="PPW166"/>
      <c r="PPX166"/>
      <c r="PPY166"/>
      <c r="PPZ166"/>
      <c r="PQA166"/>
      <c r="PQB166"/>
      <c r="PQC166"/>
      <c r="PQD166"/>
      <c r="PQE166"/>
      <c r="PQF166"/>
      <c r="PQG166"/>
      <c r="PQH166"/>
      <c r="PQI166"/>
      <c r="PQJ166"/>
      <c r="PQK166"/>
      <c r="PQL166"/>
      <c r="PQM166"/>
      <c r="PQN166"/>
      <c r="PQO166"/>
      <c r="PQP166"/>
      <c r="PQQ166"/>
      <c r="PQR166"/>
      <c r="PQS166"/>
      <c r="PQT166"/>
      <c r="PQU166"/>
      <c r="PQV166"/>
      <c r="PQW166"/>
      <c r="PQX166"/>
      <c r="PQY166"/>
      <c r="PQZ166"/>
      <c r="PRA166"/>
      <c r="PRB166"/>
      <c r="PRC166"/>
      <c r="PRD166"/>
      <c r="PRE166"/>
      <c r="PRF166"/>
      <c r="PRG166"/>
      <c r="PRH166"/>
      <c r="PRI166"/>
      <c r="PRJ166"/>
      <c r="PRK166"/>
      <c r="PRL166"/>
      <c r="PRM166"/>
      <c r="PRN166"/>
      <c r="PRO166"/>
      <c r="PRP166"/>
      <c r="PRQ166"/>
      <c r="PRR166"/>
      <c r="PRS166"/>
      <c r="PRT166"/>
      <c r="PRU166"/>
      <c r="PRV166"/>
      <c r="PRW166"/>
      <c r="PRX166"/>
      <c r="PRY166"/>
      <c r="PRZ166"/>
      <c r="PSA166"/>
      <c r="PSB166"/>
      <c r="PSC166"/>
      <c r="PSD166"/>
      <c r="PSE166"/>
      <c r="PSF166"/>
      <c r="PSG166"/>
      <c r="PSH166"/>
      <c r="PSI166"/>
      <c r="PSJ166"/>
      <c r="PSK166"/>
      <c r="PSL166"/>
      <c r="PSM166"/>
      <c r="PSN166"/>
      <c r="PSO166"/>
      <c r="PSP166"/>
      <c r="PSQ166"/>
      <c r="PSR166"/>
      <c r="PSS166"/>
      <c r="PST166"/>
      <c r="PSU166"/>
      <c r="PSV166"/>
      <c r="PSW166"/>
      <c r="PSX166"/>
      <c r="PSY166"/>
      <c r="PSZ166"/>
      <c r="PTA166"/>
      <c r="PTB166"/>
      <c r="PTC166"/>
      <c r="PTD166"/>
      <c r="PTE166"/>
      <c r="PTF166"/>
      <c r="PTG166"/>
      <c r="PTH166"/>
      <c r="PTI166"/>
      <c r="PTJ166"/>
      <c r="PTK166"/>
      <c r="PTL166"/>
      <c r="PTM166"/>
      <c r="PTN166"/>
      <c r="PTO166"/>
      <c r="PTP166"/>
      <c r="PTQ166"/>
      <c r="PTR166"/>
      <c r="PTS166"/>
      <c r="PTT166"/>
      <c r="PTU166"/>
      <c r="PTV166"/>
      <c r="PTW166"/>
      <c r="PTX166"/>
      <c r="PTY166"/>
      <c r="PTZ166"/>
      <c r="PUA166"/>
      <c r="PUB166"/>
      <c r="PUC166"/>
      <c r="PUD166"/>
      <c r="PUE166"/>
      <c r="PUF166"/>
      <c r="PUG166"/>
      <c r="PUH166"/>
      <c r="PUI166"/>
      <c r="PUJ166"/>
      <c r="PUK166"/>
      <c r="PUL166"/>
      <c r="PUM166"/>
      <c r="PUN166"/>
      <c r="PUO166"/>
      <c r="PUP166"/>
      <c r="PUQ166"/>
      <c r="PUR166"/>
      <c r="PUS166"/>
      <c r="PUT166"/>
      <c r="PUU166"/>
      <c r="PUV166"/>
      <c r="PUW166"/>
      <c r="PUX166"/>
      <c r="PUY166"/>
      <c r="PUZ166"/>
      <c r="PVA166"/>
      <c r="PVB166"/>
      <c r="PVC166"/>
      <c r="PVD166"/>
      <c r="PVE166"/>
      <c r="PVF166"/>
      <c r="PVG166"/>
      <c r="PVH166"/>
      <c r="PVI166"/>
      <c r="PVJ166"/>
      <c r="PVK166"/>
      <c r="PVL166"/>
      <c r="PVM166"/>
      <c r="PVN166"/>
      <c r="PVO166"/>
      <c r="PVP166"/>
      <c r="PVQ166"/>
      <c r="PVR166"/>
      <c r="PVS166"/>
      <c r="PVT166"/>
      <c r="PVU166"/>
      <c r="PVV166"/>
      <c r="PVW166"/>
      <c r="PVX166"/>
      <c r="PVY166"/>
      <c r="PVZ166"/>
      <c r="PWA166"/>
      <c r="PWB166"/>
      <c r="PWC166"/>
      <c r="PWD166"/>
      <c r="PWE166"/>
      <c r="PWF166"/>
      <c r="PWG166"/>
      <c r="PWH166"/>
      <c r="PWI166"/>
      <c r="PWJ166"/>
      <c r="PWK166"/>
      <c r="PWL166"/>
      <c r="PWM166"/>
      <c r="PWN166"/>
      <c r="PWO166"/>
      <c r="PWP166"/>
      <c r="PWQ166"/>
      <c r="PWR166"/>
      <c r="PWS166"/>
      <c r="PWT166"/>
      <c r="PWU166"/>
      <c r="PWV166"/>
      <c r="PWW166"/>
      <c r="PWX166"/>
      <c r="PWY166"/>
      <c r="PWZ166"/>
      <c r="PXA166"/>
      <c r="PXB166"/>
      <c r="PXC166"/>
      <c r="PXD166"/>
      <c r="PXE166"/>
      <c r="PXF166"/>
      <c r="PXG166"/>
      <c r="PXH166"/>
      <c r="PXI166"/>
      <c r="PXJ166"/>
      <c r="PXK166"/>
      <c r="PXL166"/>
      <c r="PXM166"/>
      <c r="PXN166"/>
      <c r="PXO166"/>
      <c r="PXP166"/>
      <c r="PXQ166"/>
      <c r="PXR166"/>
      <c r="PXS166"/>
      <c r="PXT166"/>
      <c r="PXU166"/>
      <c r="PXV166"/>
      <c r="PXW166"/>
      <c r="PXX166"/>
      <c r="PXY166"/>
      <c r="PXZ166"/>
      <c r="PYA166"/>
      <c r="PYB166"/>
      <c r="PYC166"/>
      <c r="PYD166"/>
      <c r="PYE166"/>
      <c r="PYF166"/>
      <c r="PYG166"/>
      <c r="PYH166"/>
      <c r="PYI166"/>
      <c r="PYJ166"/>
      <c r="PYK166"/>
      <c r="PYL166"/>
      <c r="PYM166"/>
      <c r="PYN166"/>
      <c r="PYO166"/>
      <c r="PYP166"/>
      <c r="PYQ166"/>
      <c r="PYR166"/>
      <c r="PYS166"/>
      <c r="PYT166"/>
      <c r="PYU166"/>
      <c r="PYV166"/>
      <c r="PYW166"/>
      <c r="PYX166"/>
      <c r="PYY166"/>
      <c r="PYZ166"/>
      <c r="PZA166"/>
      <c r="PZB166"/>
      <c r="PZC166"/>
      <c r="PZD166"/>
      <c r="PZE166"/>
      <c r="PZF166"/>
      <c r="PZG166"/>
      <c r="PZH166"/>
      <c r="PZI166"/>
      <c r="PZJ166"/>
      <c r="PZK166"/>
      <c r="PZL166"/>
      <c r="PZM166"/>
      <c r="PZN166"/>
      <c r="PZO166"/>
      <c r="PZP166"/>
      <c r="PZQ166"/>
      <c r="PZR166"/>
      <c r="PZS166"/>
      <c r="PZT166"/>
      <c r="PZU166"/>
      <c r="PZV166"/>
      <c r="PZW166"/>
      <c r="PZX166"/>
      <c r="PZY166"/>
      <c r="PZZ166"/>
      <c r="QAA166"/>
      <c r="QAB166"/>
      <c r="QAC166"/>
      <c r="QAD166"/>
      <c r="QAE166"/>
      <c r="QAF166"/>
      <c r="QAG166"/>
      <c r="QAH166"/>
      <c r="QAI166"/>
      <c r="QAJ166"/>
      <c r="QAK166"/>
      <c r="QAL166"/>
      <c r="QAM166"/>
      <c r="QAN166"/>
      <c r="QAO166"/>
      <c r="QAP166"/>
      <c r="QAQ166"/>
      <c r="QAR166"/>
      <c r="QAS166"/>
      <c r="QAT166"/>
      <c r="QAU166"/>
      <c r="QAV166"/>
      <c r="QAW166"/>
      <c r="QAX166"/>
      <c r="QAY166"/>
      <c r="QAZ166"/>
      <c r="QBA166"/>
      <c r="QBB166"/>
      <c r="QBC166"/>
      <c r="QBD166"/>
      <c r="QBE166"/>
      <c r="QBF166"/>
      <c r="QBG166"/>
      <c r="QBH166"/>
      <c r="QBI166"/>
      <c r="QBJ166"/>
      <c r="QBK166"/>
      <c r="QBL166"/>
      <c r="QBM166"/>
      <c r="QBN166"/>
      <c r="QBO166"/>
      <c r="QBP166"/>
      <c r="QBQ166"/>
      <c r="QBR166"/>
      <c r="QBS166"/>
      <c r="QBT166"/>
      <c r="QBU166"/>
      <c r="QBV166"/>
      <c r="QBW166"/>
      <c r="QBX166"/>
      <c r="QBY166"/>
      <c r="QBZ166"/>
      <c r="QCA166"/>
      <c r="QCB166"/>
      <c r="QCC166"/>
      <c r="QCD166"/>
      <c r="QCE166"/>
      <c r="QCF166"/>
      <c r="QCG166"/>
      <c r="QCH166"/>
      <c r="QCI166"/>
      <c r="QCJ166"/>
      <c r="QCK166"/>
      <c r="QCL166"/>
      <c r="QCM166"/>
      <c r="QCN166"/>
      <c r="QCO166"/>
      <c r="QCP166"/>
      <c r="QCQ166"/>
      <c r="QCR166"/>
      <c r="QCS166"/>
      <c r="QCT166"/>
      <c r="QCU166"/>
      <c r="QCV166"/>
      <c r="QCW166"/>
      <c r="QCX166"/>
      <c r="QCY166"/>
      <c r="QCZ166"/>
      <c r="QDA166"/>
      <c r="QDB166"/>
      <c r="QDC166"/>
      <c r="QDD166"/>
      <c r="QDE166"/>
      <c r="QDF166"/>
      <c r="QDG166"/>
      <c r="QDH166"/>
      <c r="QDI166"/>
      <c r="QDJ166"/>
      <c r="QDK166"/>
      <c r="QDL166"/>
      <c r="QDM166"/>
      <c r="QDN166"/>
      <c r="QDO166"/>
      <c r="QDP166"/>
      <c r="QDQ166"/>
      <c r="QDR166"/>
      <c r="QDS166"/>
      <c r="QDT166"/>
      <c r="QDU166"/>
      <c r="QDV166"/>
      <c r="QDW166"/>
      <c r="QDX166"/>
      <c r="QDY166"/>
      <c r="QDZ166"/>
      <c r="QEA166"/>
      <c r="QEB166"/>
      <c r="QEC166"/>
      <c r="QED166"/>
      <c r="QEE166"/>
      <c r="QEF166"/>
      <c r="QEG166"/>
      <c r="QEH166"/>
      <c r="QEI166"/>
      <c r="QEJ166"/>
      <c r="QEK166"/>
      <c r="QEL166"/>
      <c r="QEM166"/>
      <c r="QEN166"/>
      <c r="QEO166"/>
      <c r="QEP166"/>
      <c r="QEQ166"/>
      <c r="QER166"/>
      <c r="QES166"/>
      <c r="QET166"/>
      <c r="QEU166"/>
      <c r="QEV166"/>
      <c r="QEW166"/>
      <c r="QEX166"/>
      <c r="QEY166"/>
      <c r="QEZ166"/>
      <c r="QFA166"/>
      <c r="QFB166"/>
      <c r="QFC166"/>
      <c r="QFD166"/>
      <c r="QFE166"/>
      <c r="QFF166"/>
      <c r="QFG166"/>
      <c r="QFH166"/>
      <c r="QFI166"/>
      <c r="QFJ166"/>
      <c r="QFK166"/>
      <c r="QFL166"/>
      <c r="QFM166"/>
      <c r="QFN166"/>
      <c r="QFO166"/>
      <c r="QFP166"/>
      <c r="QFQ166"/>
      <c r="QFR166"/>
      <c r="QFS166"/>
      <c r="QFT166"/>
      <c r="QFU166"/>
      <c r="QFV166"/>
      <c r="QFW166"/>
      <c r="QFX166"/>
      <c r="QFY166"/>
      <c r="QFZ166"/>
      <c r="QGA166"/>
      <c r="QGB166"/>
      <c r="QGC166"/>
      <c r="QGD166"/>
      <c r="QGE166"/>
      <c r="QGF166"/>
      <c r="QGG166"/>
      <c r="QGH166"/>
      <c r="QGI166"/>
      <c r="QGJ166"/>
      <c r="QGK166"/>
      <c r="QGL166"/>
      <c r="QGM166"/>
      <c r="QGN166"/>
      <c r="QGO166"/>
      <c r="QGP166"/>
      <c r="QGQ166"/>
      <c r="QGR166"/>
      <c r="QGS166"/>
      <c r="QGT166"/>
      <c r="QGU166"/>
      <c r="QGV166"/>
      <c r="QGW166"/>
      <c r="QGX166"/>
      <c r="QGY166"/>
      <c r="QGZ166"/>
      <c r="QHA166"/>
      <c r="QHB166"/>
      <c r="QHC166"/>
      <c r="QHD166"/>
      <c r="QHE166"/>
      <c r="QHF166"/>
      <c r="QHG166"/>
      <c r="QHH166"/>
      <c r="QHI166"/>
      <c r="QHJ166"/>
      <c r="QHK166"/>
      <c r="QHL166"/>
      <c r="QHM166"/>
      <c r="QHN166"/>
      <c r="QHO166"/>
      <c r="QHP166"/>
      <c r="QHQ166"/>
      <c r="QHR166"/>
      <c r="QHS166"/>
      <c r="QHT166"/>
      <c r="QHU166"/>
      <c r="QHV166"/>
      <c r="QHW166"/>
      <c r="QHX166"/>
      <c r="QHY166"/>
      <c r="QHZ166"/>
      <c r="QIA166"/>
      <c r="QIB166"/>
      <c r="QIC166"/>
      <c r="QID166"/>
      <c r="QIE166"/>
      <c r="QIF166"/>
      <c r="QIG166"/>
      <c r="QIH166"/>
      <c r="QII166"/>
      <c r="QIJ166"/>
      <c r="QIK166"/>
      <c r="QIL166"/>
      <c r="QIM166"/>
      <c r="QIN166"/>
      <c r="QIO166"/>
      <c r="QIP166"/>
      <c r="QIQ166"/>
      <c r="QIR166"/>
      <c r="QIS166"/>
      <c r="QIT166"/>
      <c r="QIU166"/>
      <c r="QIV166"/>
      <c r="QIW166"/>
      <c r="QIX166"/>
      <c r="QIY166"/>
      <c r="QIZ166"/>
      <c r="QJA166"/>
      <c r="QJB166"/>
      <c r="QJC166"/>
      <c r="QJD166"/>
      <c r="QJE166"/>
      <c r="QJF166"/>
      <c r="QJG166"/>
      <c r="QJH166"/>
      <c r="QJI166"/>
      <c r="QJJ166"/>
      <c r="QJK166"/>
      <c r="QJL166"/>
      <c r="QJM166"/>
      <c r="QJN166"/>
      <c r="QJO166"/>
      <c r="QJP166"/>
      <c r="QJQ166"/>
      <c r="QJR166"/>
      <c r="QJS166"/>
      <c r="QJT166"/>
      <c r="QJU166"/>
      <c r="QJV166"/>
      <c r="QJW166"/>
      <c r="QJX166"/>
      <c r="QJY166"/>
      <c r="QJZ166"/>
      <c r="QKA166"/>
      <c r="QKB166"/>
      <c r="QKC166"/>
      <c r="QKD166"/>
      <c r="QKE166"/>
      <c r="QKF166"/>
      <c r="QKG166"/>
      <c r="QKH166"/>
      <c r="QKI166"/>
      <c r="QKJ166"/>
      <c r="QKK166"/>
      <c r="QKL166"/>
      <c r="QKM166"/>
      <c r="QKN166"/>
      <c r="QKO166"/>
      <c r="QKP166"/>
      <c r="QKQ166"/>
      <c r="QKR166"/>
      <c r="QKS166"/>
      <c r="QKT166"/>
      <c r="QKU166"/>
      <c r="QKV166"/>
      <c r="QKW166"/>
      <c r="QKX166"/>
      <c r="QKY166"/>
      <c r="QKZ166"/>
      <c r="QLA166"/>
      <c r="QLB166"/>
      <c r="QLC166"/>
      <c r="QLD166"/>
      <c r="QLE166"/>
      <c r="QLF166"/>
      <c r="QLG166"/>
      <c r="QLH166"/>
      <c r="QLI166"/>
      <c r="QLJ166"/>
      <c r="QLK166"/>
      <c r="QLL166"/>
      <c r="QLM166"/>
      <c r="QLN166"/>
      <c r="QLO166"/>
      <c r="QLP166"/>
      <c r="QLQ166"/>
      <c r="QLR166"/>
      <c r="QLS166"/>
      <c r="QLT166"/>
      <c r="QLU166"/>
      <c r="QLV166"/>
      <c r="QLW166"/>
      <c r="QLX166"/>
      <c r="QLY166"/>
      <c r="QLZ166"/>
      <c r="QMA166"/>
      <c r="QMB166"/>
      <c r="QMC166"/>
      <c r="QMD166"/>
      <c r="QME166"/>
      <c r="QMF166"/>
      <c r="QMG166"/>
      <c r="QMH166"/>
      <c r="QMI166"/>
      <c r="QMJ166"/>
      <c r="QMK166"/>
      <c r="QML166"/>
      <c r="QMM166"/>
      <c r="QMN166"/>
      <c r="QMO166"/>
      <c r="QMP166"/>
      <c r="QMQ166"/>
      <c r="QMR166"/>
      <c r="QMS166"/>
      <c r="QMT166"/>
      <c r="QMU166"/>
      <c r="QMV166"/>
      <c r="QMW166"/>
      <c r="QMX166"/>
      <c r="QMY166"/>
      <c r="QMZ166"/>
      <c r="QNA166"/>
      <c r="QNB166"/>
      <c r="QNC166"/>
      <c r="QND166"/>
      <c r="QNE166"/>
      <c r="QNF166"/>
      <c r="QNG166"/>
      <c r="QNH166"/>
      <c r="QNI166"/>
      <c r="QNJ166"/>
      <c r="QNK166"/>
      <c r="QNL166"/>
      <c r="QNM166"/>
      <c r="QNN166"/>
      <c r="QNO166"/>
      <c r="QNP166"/>
      <c r="QNQ166"/>
      <c r="QNR166"/>
      <c r="QNS166"/>
      <c r="QNT166"/>
      <c r="QNU166"/>
      <c r="QNV166"/>
      <c r="QNW166"/>
      <c r="QNX166"/>
      <c r="QNY166"/>
      <c r="QNZ166"/>
      <c r="QOA166"/>
      <c r="QOB166"/>
      <c r="QOC166"/>
      <c r="QOD166"/>
      <c r="QOE166"/>
      <c r="QOF166"/>
      <c r="QOG166"/>
      <c r="QOH166"/>
      <c r="QOI166"/>
      <c r="QOJ166"/>
      <c r="QOK166"/>
      <c r="QOL166"/>
      <c r="QOM166"/>
      <c r="QON166"/>
      <c r="QOO166"/>
      <c r="QOP166"/>
      <c r="QOQ166"/>
      <c r="QOR166"/>
      <c r="QOS166"/>
      <c r="QOT166"/>
      <c r="QOU166"/>
      <c r="QOV166"/>
      <c r="QOW166"/>
      <c r="QOX166"/>
      <c r="QOY166"/>
      <c r="QOZ166"/>
      <c r="QPA166"/>
      <c r="QPB166"/>
      <c r="QPC166"/>
      <c r="QPD166"/>
      <c r="QPE166"/>
      <c r="QPF166"/>
      <c r="QPG166"/>
      <c r="QPH166"/>
      <c r="QPI166"/>
      <c r="QPJ166"/>
      <c r="QPK166"/>
      <c r="QPL166"/>
      <c r="QPM166"/>
      <c r="QPN166"/>
      <c r="QPO166"/>
      <c r="QPP166"/>
      <c r="QPQ166"/>
      <c r="QPR166"/>
      <c r="QPS166"/>
      <c r="QPT166"/>
      <c r="QPU166"/>
      <c r="QPV166"/>
      <c r="QPW166"/>
      <c r="QPX166"/>
      <c r="QPY166"/>
      <c r="QPZ166"/>
      <c r="QQA166"/>
      <c r="QQB166"/>
      <c r="QQC166"/>
      <c r="QQD166"/>
      <c r="QQE166"/>
      <c r="QQF166"/>
      <c r="QQG166"/>
      <c r="QQH166"/>
      <c r="QQI166"/>
      <c r="QQJ166"/>
      <c r="QQK166"/>
      <c r="QQL166"/>
      <c r="QQM166"/>
      <c r="QQN166"/>
      <c r="QQO166"/>
      <c r="QQP166"/>
      <c r="QQQ166"/>
      <c r="QQR166"/>
      <c r="QQS166"/>
      <c r="QQT166"/>
      <c r="QQU166"/>
      <c r="QQV166"/>
      <c r="QQW166"/>
      <c r="QQX166"/>
      <c r="QQY166"/>
      <c r="QQZ166"/>
      <c r="QRA166"/>
      <c r="QRB166"/>
      <c r="QRC166"/>
      <c r="QRD166"/>
      <c r="QRE166"/>
      <c r="QRF166"/>
      <c r="QRG166"/>
      <c r="QRH166"/>
      <c r="QRI166"/>
      <c r="QRJ166"/>
      <c r="QRK166"/>
      <c r="QRL166"/>
      <c r="QRM166"/>
      <c r="QRN166"/>
      <c r="QRO166"/>
      <c r="QRP166"/>
      <c r="QRQ166"/>
      <c r="QRR166"/>
      <c r="QRS166"/>
      <c r="QRT166"/>
      <c r="QRU166"/>
      <c r="QRV166"/>
      <c r="QRW166"/>
      <c r="QRX166"/>
      <c r="QRY166"/>
      <c r="QRZ166"/>
      <c r="QSA166"/>
      <c r="QSB166"/>
      <c r="QSC166"/>
      <c r="QSD166"/>
      <c r="QSE166"/>
      <c r="QSF166"/>
      <c r="QSG166"/>
      <c r="QSH166"/>
      <c r="QSI166"/>
      <c r="QSJ166"/>
      <c r="QSK166"/>
      <c r="QSL166"/>
      <c r="QSM166"/>
      <c r="QSN166"/>
      <c r="QSO166"/>
      <c r="QSP166"/>
      <c r="QSQ166"/>
      <c r="QSR166"/>
      <c r="QSS166"/>
      <c r="QST166"/>
      <c r="QSU166"/>
      <c r="QSV166"/>
      <c r="QSW166"/>
      <c r="QSX166"/>
      <c r="QSY166"/>
      <c r="QSZ166"/>
      <c r="QTA166"/>
      <c r="QTB166"/>
      <c r="QTC166"/>
      <c r="QTD166"/>
      <c r="QTE166"/>
      <c r="QTF166"/>
      <c r="QTG166"/>
      <c r="QTH166"/>
      <c r="QTI166"/>
      <c r="QTJ166"/>
      <c r="QTK166"/>
      <c r="QTL166"/>
      <c r="QTM166"/>
      <c r="QTN166"/>
      <c r="QTO166"/>
      <c r="QTP166"/>
      <c r="QTQ166"/>
      <c r="QTR166"/>
      <c r="QTS166"/>
      <c r="QTT166"/>
      <c r="QTU166"/>
      <c r="QTV166"/>
      <c r="QTW166"/>
      <c r="QTX166"/>
      <c r="QTY166"/>
      <c r="QTZ166"/>
      <c r="QUA166"/>
      <c r="QUB166"/>
      <c r="QUC166"/>
      <c r="QUD166"/>
      <c r="QUE166"/>
      <c r="QUF166"/>
      <c r="QUG166"/>
      <c r="QUH166"/>
      <c r="QUI166"/>
      <c r="QUJ166"/>
      <c r="QUK166"/>
      <c r="QUL166"/>
      <c r="QUM166"/>
      <c r="QUN166"/>
      <c r="QUO166"/>
      <c r="QUP166"/>
      <c r="QUQ166"/>
      <c r="QUR166"/>
      <c r="QUS166"/>
      <c r="QUT166"/>
      <c r="QUU166"/>
      <c r="QUV166"/>
      <c r="QUW166"/>
      <c r="QUX166"/>
      <c r="QUY166"/>
      <c r="QUZ166"/>
      <c r="QVA166"/>
      <c r="QVB166"/>
      <c r="QVC166"/>
      <c r="QVD166"/>
      <c r="QVE166"/>
      <c r="QVF166"/>
      <c r="QVG166"/>
      <c r="QVH166"/>
      <c r="QVI166"/>
      <c r="QVJ166"/>
      <c r="QVK166"/>
      <c r="QVL166"/>
      <c r="QVM166"/>
      <c r="QVN166"/>
      <c r="QVO166"/>
      <c r="QVP166"/>
      <c r="QVQ166"/>
      <c r="QVR166"/>
      <c r="QVS166"/>
      <c r="QVT166"/>
      <c r="QVU166"/>
      <c r="QVV166"/>
      <c r="QVW166"/>
      <c r="QVX166"/>
      <c r="QVY166"/>
      <c r="QVZ166"/>
      <c r="QWA166"/>
      <c r="QWB166"/>
      <c r="QWC166"/>
      <c r="QWD166"/>
      <c r="QWE166"/>
      <c r="QWF166"/>
      <c r="QWG166"/>
      <c r="QWH166"/>
      <c r="QWI166"/>
      <c r="QWJ166"/>
      <c r="QWK166"/>
      <c r="QWL166"/>
      <c r="QWM166"/>
      <c r="QWN166"/>
      <c r="QWO166"/>
      <c r="QWP166"/>
      <c r="QWQ166"/>
      <c r="QWR166"/>
      <c r="QWS166"/>
      <c r="QWT166"/>
      <c r="QWU166"/>
      <c r="QWV166"/>
      <c r="QWW166"/>
      <c r="QWX166"/>
      <c r="QWY166"/>
      <c r="QWZ166"/>
      <c r="QXA166"/>
      <c r="QXB166"/>
      <c r="QXC166"/>
      <c r="QXD166"/>
      <c r="QXE166"/>
      <c r="QXF166"/>
      <c r="QXG166"/>
      <c r="QXH166"/>
      <c r="QXI166"/>
      <c r="QXJ166"/>
      <c r="QXK166"/>
      <c r="QXL166"/>
      <c r="QXM166"/>
      <c r="QXN166"/>
      <c r="QXO166"/>
      <c r="QXP166"/>
      <c r="QXQ166"/>
      <c r="QXR166"/>
      <c r="QXS166"/>
      <c r="QXT166"/>
      <c r="QXU166"/>
      <c r="QXV166"/>
      <c r="QXW166"/>
      <c r="QXX166"/>
      <c r="QXY166"/>
      <c r="QXZ166"/>
      <c r="QYA166"/>
      <c r="QYB166"/>
      <c r="QYC166"/>
      <c r="QYD166"/>
      <c r="QYE166"/>
      <c r="QYF166"/>
      <c r="QYG166"/>
      <c r="QYH166"/>
      <c r="QYI166"/>
      <c r="QYJ166"/>
      <c r="QYK166"/>
      <c r="QYL166"/>
      <c r="QYM166"/>
      <c r="QYN166"/>
      <c r="QYO166"/>
      <c r="QYP166"/>
      <c r="QYQ166"/>
      <c r="QYR166"/>
      <c r="QYS166"/>
      <c r="QYT166"/>
      <c r="QYU166"/>
      <c r="QYV166"/>
      <c r="QYW166"/>
      <c r="QYX166"/>
      <c r="QYY166"/>
      <c r="QYZ166"/>
      <c r="QZA166"/>
      <c r="QZB166"/>
      <c r="QZC166"/>
      <c r="QZD166"/>
      <c r="QZE166"/>
      <c r="QZF166"/>
      <c r="QZG166"/>
      <c r="QZH166"/>
      <c r="QZI166"/>
      <c r="QZJ166"/>
      <c r="QZK166"/>
      <c r="QZL166"/>
      <c r="QZM166"/>
      <c r="QZN166"/>
      <c r="QZO166"/>
      <c r="QZP166"/>
      <c r="QZQ166"/>
      <c r="QZR166"/>
      <c r="QZS166"/>
      <c r="QZT166"/>
      <c r="QZU166"/>
      <c r="QZV166"/>
      <c r="QZW166"/>
      <c r="QZX166"/>
      <c r="QZY166"/>
      <c r="QZZ166"/>
      <c r="RAA166"/>
      <c r="RAB166"/>
      <c r="RAC166"/>
      <c r="RAD166"/>
      <c r="RAE166"/>
      <c r="RAF166"/>
      <c r="RAG166"/>
      <c r="RAH166"/>
      <c r="RAI166"/>
      <c r="RAJ166"/>
      <c r="RAK166"/>
      <c r="RAL166"/>
      <c r="RAM166"/>
      <c r="RAN166"/>
      <c r="RAO166"/>
      <c r="RAP166"/>
      <c r="RAQ166"/>
      <c r="RAR166"/>
      <c r="RAS166"/>
      <c r="RAT166"/>
      <c r="RAU166"/>
      <c r="RAV166"/>
      <c r="RAW166"/>
      <c r="RAX166"/>
      <c r="RAY166"/>
      <c r="RAZ166"/>
      <c r="RBA166"/>
      <c r="RBB166"/>
      <c r="RBC166"/>
      <c r="RBD166"/>
      <c r="RBE166"/>
      <c r="RBF166"/>
      <c r="RBG166"/>
      <c r="RBH166"/>
      <c r="RBI166"/>
      <c r="RBJ166"/>
      <c r="RBK166"/>
      <c r="RBL166"/>
      <c r="RBM166"/>
      <c r="RBN166"/>
      <c r="RBO166"/>
      <c r="RBP166"/>
      <c r="RBQ166"/>
      <c r="RBR166"/>
      <c r="RBS166"/>
      <c r="RBT166"/>
      <c r="RBU166"/>
      <c r="RBV166"/>
      <c r="RBW166"/>
      <c r="RBX166"/>
      <c r="RBY166"/>
      <c r="RBZ166"/>
      <c r="RCA166"/>
      <c r="RCB166"/>
      <c r="RCC166"/>
      <c r="RCD166"/>
      <c r="RCE166"/>
      <c r="RCF166"/>
      <c r="RCG166"/>
      <c r="RCH166"/>
      <c r="RCI166"/>
      <c r="RCJ166"/>
      <c r="RCK166"/>
      <c r="RCL166"/>
      <c r="RCM166"/>
      <c r="RCN166"/>
      <c r="RCO166"/>
      <c r="RCP166"/>
      <c r="RCQ166"/>
      <c r="RCR166"/>
      <c r="RCS166"/>
      <c r="RCT166"/>
      <c r="RCU166"/>
      <c r="RCV166"/>
      <c r="RCW166"/>
      <c r="RCX166"/>
      <c r="RCY166"/>
      <c r="RCZ166"/>
      <c r="RDA166"/>
      <c r="RDB166"/>
      <c r="RDC166"/>
      <c r="RDD166"/>
      <c r="RDE166"/>
      <c r="RDF166"/>
      <c r="RDG166"/>
      <c r="RDH166"/>
      <c r="RDI166"/>
      <c r="RDJ166"/>
      <c r="RDK166"/>
      <c r="RDL166"/>
      <c r="RDM166"/>
      <c r="RDN166"/>
      <c r="RDO166"/>
      <c r="RDP166"/>
      <c r="RDQ166"/>
      <c r="RDR166"/>
      <c r="RDS166"/>
      <c r="RDT166"/>
      <c r="RDU166"/>
      <c r="RDV166"/>
      <c r="RDW166"/>
      <c r="RDX166"/>
      <c r="RDY166"/>
      <c r="RDZ166"/>
      <c r="REA166"/>
      <c r="REB166"/>
      <c r="REC166"/>
      <c r="RED166"/>
      <c r="REE166"/>
      <c r="REF166"/>
      <c r="REG166"/>
      <c r="REH166"/>
      <c r="REI166"/>
      <c r="REJ166"/>
      <c r="REK166"/>
      <c r="REL166"/>
      <c r="REM166"/>
      <c r="REN166"/>
      <c r="REO166"/>
      <c r="REP166"/>
      <c r="REQ166"/>
      <c r="RER166"/>
      <c r="RES166"/>
      <c r="RET166"/>
      <c r="REU166"/>
      <c r="REV166"/>
      <c r="REW166"/>
      <c r="REX166"/>
      <c r="REY166"/>
      <c r="REZ166"/>
      <c r="RFA166"/>
      <c r="RFB166"/>
      <c r="RFC166"/>
      <c r="RFD166"/>
      <c r="RFE166"/>
      <c r="RFF166"/>
      <c r="RFG166"/>
      <c r="RFH166"/>
      <c r="RFI166"/>
      <c r="RFJ166"/>
      <c r="RFK166"/>
      <c r="RFL166"/>
      <c r="RFM166"/>
      <c r="RFN166"/>
      <c r="RFO166"/>
      <c r="RFP166"/>
      <c r="RFQ166"/>
      <c r="RFR166"/>
      <c r="RFS166"/>
      <c r="RFT166"/>
      <c r="RFU166"/>
      <c r="RFV166"/>
      <c r="RFW166"/>
      <c r="RFX166"/>
      <c r="RFY166"/>
      <c r="RFZ166"/>
      <c r="RGA166"/>
      <c r="RGB166"/>
      <c r="RGC166"/>
      <c r="RGD166"/>
      <c r="RGE166"/>
      <c r="RGF166"/>
      <c r="RGG166"/>
      <c r="RGH166"/>
      <c r="RGI166"/>
      <c r="RGJ166"/>
      <c r="RGK166"/>
      <c r="RGL166"/>
      <c r="RGM166"/>
      <c r="RGN166"/>
      <c r="RGO166"/>
      <c r="RGP166"/>
      <c r="RGQ166"/>
      <c r="RGR166"/>
      <c r="RGS166"/>
      <c r="RGT166"/>
      <c r="RGU166"/>
      <c r="RGV166"/>
      <c r="RGW166"/>
      <c r="RGX166"/>
      <c r="RGY166"/>
      <c r="RGZ166"/>
      <c r="RHA166"/>
      <c r="RHB166"/>
      <c r="RHC166"/>
      <c r="RHD166"/>
      <c r="RHE166"/>
      <c r="RHF166"/>
      <c r="RHG166"/>
      <c r="RHH166"/>
      <c r="RHI166"/>
      <c r="RHJ166"/>
      <c r="RHK166"/>
      <c r="RHL166"/>
      <c r="RHM166"/>
      <c r="RHN166"/>
      <c r="RHO166"/>
      <c r="RHP166"/>
      <c r="RHQ166"/>
      <c r="RHR166"/>
      <c r="RHS166"/>
      <c r="RHT166"/>
      <c r="RHU166"/>
      <c r="RHV166"/>
      <c r="RHW166"/>
      <c r="RHX166"/>
      <c r="RHY166"/>
      <c r="RHZ166"/>
      <c r="RIA166"/>
      <c r="RIB166"/>
      <c r="RIC166"/>
      <c r="RID166"/>
      <c r="RIE166"/>
      <c r="RIF166"/>
      <c r="RIG166"/>
      <c r="RIH166"/>
      <c r="RII166"/>
      <c r="RIJ166"/>
      <c r="RIK166"/>
      <c r="RIL166"/>
      <c r="RIM166"/>
      <c r="RIN166"/>
      <c r="RIO166"/>
      <c r="RIP166"/>
      <c r="RIQ166"/>
      <c r="RIR166"/>
      <c r="RIS166"/>
      <c r="RIT166"/>
      <c r="RIU166"/>
      <c r="RIV166"/>
      <c r="RIW166"/>
      <c r="RIX166"/>
      <c r="RIY166"/>
      <c r="RIZ166"/>
      <c r="RJA166"/>
      <c r="RJB166"/>
      <c r="RJC166"/>
      <c r="RJD166"/>
      <c r="RJE166"/>
      <c r="RJF166"/>
      <c r="RJG166"/>
      <c r="RJH166"/>
      <c r="RJI166"/>
      <c r="RJJ166"/>
      <c r="RJK166"/>
      <c r="RJL166"/>
      <c r="RJM166"/>
      <c r="RJN166"/>
      <c r="RJO166"/>
      <c r="RJP166"/>
      <c r="RJQ166"/>
      <c r="RJR166"/>
      <c r="RJS166"/>
      <c r="RJT166"/>
      <c r="RJU166"/>
      <c r="RJV166"/>
      <c r="RJW166"/>
      <c r="RJX166"/>
      <c r="RJY166"/>
      <c r="RJZ166"/>
      <c r="RKA166"/>
      <c r="RKB166"/>
      <c r="RKC166"/>
      <c r="RKD166"/>
      <c r="RKE166"/>
      <c r="RKF166"/>
      <c r="RKG166"/>
      <c r="RKH166"/>
      <c r="RKI166"/>
      <c r="RKJ166"/>
      <c r="RKK166"/>
      <c r="RKL166"/>
      <c r="RKM166"/>
      <c r="RKN166"/>
      <c r="RKO166"/>
      <c r="RKP166"/>
      <c r="RKQ166"/>
      <c r="RKR166"/>
      <c r="RKS166"/>
      <c r="RKT166"/>
      <c r="RKU166"/>
      <c r="RKV166"/>
      <c r="RKW166"/>
      <c r="RKX166"/>
      <c r="RKY166"/>
      <c r="RKZ166"/>
      <c r="RLA166"/>
      <c r="RLB166"/>
      <c r="RLC166"/>
      <c r="RLD166"/>
      <c r="RLE166"/>
      <c r="RLF166"/>
      <c r="RLG166"/>
      <c r="RLH166"/>
      <c r="RLI166"/>
      <c r="RLJ166"/>
      <c r="RLK166"/>
      <c r="RLL166"/>
      <c r="RLM166"/>
      <c r="RLN166"/>
      <c r="RLO166"/>
      <c r="RLP166"/>
      <c r="RLQ166"/>
      <c r="RLR166"/>
      <c r="RLS166"/>
      <c r="RLT166"/>
      <c r="RLU166"/>
      <c r="RLV166"/>
      <c r="RLW166"/>
      <c r="RLX166"/>
      <c r="RLY166"/>
      <c r="RLZ166"/>
      <c r="RMA166"/>
      <c r="RMB166"/>
      <c r="RMC166"/>
      <c r="RMD166"/>
      <c r="RME166"/>
      <c r="RMF166"/>
      <c r="RMG166"/>
      <c r="RMH166"/>
      <c r="RMI166"/>
      <c r="RMJ166"/>
      <c r="RMK166"/>
      <c r="RML166"/>
      <c r="RMM166"/>
      <c r="RMN166"/>
      <c r="RMO166"/>
      <c r="RMP166"/>
      <c r="RMQ166"/>
      <c r="RMR166"/>
      <c r="RMS166"/>
      <c r="RMT166"/>
      <c r="RMU166"/>
      <c r="RMV166"/>
      <c r="RMW166"/>
      <c r="RMX166"/>
      <c r="RMY166"/>
      <c r="RMZ166"/>
      <c r="RNA166"/>
      <c r="RNB166"/>
      <c r="RNC166"/>
      <c r="RND166"/>
      <c r="RNE166"/>
      <c r="RNF166"/>
      <c r="RNG166"/>
      <c r="RNH166"/>
      <c r="RNI166"/>
      <c r="RNJ166"/>
      <c r="RNK166"/>
      <c r="RNL166"/>
      <c r="RNM166"/>
      <c r="RNN166"/>
      <c r="RNO166"/>
      <c r="RNP166"/>
      <c r="RNQ166"/>
      <c r="RNR166"/>
      <c r="RNS166"/>
      <c r="RNT166"/>
      <c r="RNU166"/>
      <c r="RNV166"/>
      <c r="RNW166"/>
      <c r="RNX166"/>
      <c r="RNY166"/>
      <c r="RNZ166"/>
      <c r="ROA166"/>
      <c r="ROB166"/>
      <c r="ROC166"/>
      <c r="ROD166"/>
      <c r="ROE166"/>
      <c r="ROF166"/>
      <c r="ROG166"/>
      <c r="ROH166"/>
      <c r="ROI166"/>
      <c r="ROJ166"/>
      <c r="ROK166"/>
      <c r="ROL166"/>
      <c r="ROM166"/>
      <c r="RON166"/>
      <c r="ROO166"/>
      <c r="ROP166"/>
      <c r="ROQ166"/>
      <c r="ROR166"/>
      <c r="ROS166"/>
      <c r="ROT166"/>
      <c r="ROU166"/>
      <c r="ROV166"/>
      <c r="ROW166"/>
      <c r="ROX166"/>
      <c r="ROY166"/>
      <c r="ROZ166"/>
      <c r="RPA166"/>
      <c r="RPB166"/>
      <c r="RPC166"/>
      <c r="RPD166"/>
      <c r="RPE166"/>
      <c r="RPF166"/>
      <c r="RPG166"/>
      <c r="RPH166"/>
      <c r="RPI166"/>
      <c r="RPJ166"/>
      <c r="RPK166"/>
      <c r="RPL166"/>
      <c r="RPM166"/>
      <c r="RPN166"/>
      <c r="RPO166"/>
      <c r="RPP166"/>
      <c r="RPQ166"/>
      <c r="RPR166"/>
      <c r="RPS166"/>
      <c r="RPT166"/>
      <c r="RPU166"/>
      <c r="RPV166"/>
      <c r="RPW166"/>
      <c r="RPX166"/>
      <c r="RPY166"/>
      <c r="RPZ166"/>
      <c r="RQA166"/>
      <c r="RQB166"/>
      <c r="RQC166"/>
      <c r="RQD166"/>
      <c r="RQE166"/>
      <c r="RQF166"/>
      <c r="RQG166"/>
      <c r="RQH166"/>
      <c r="RQI166"/>
      <c r="RQJ166"/>
      <c r="RQK166"/>
      <c r="RQL166"/>
      <c r="RQM166"/>
      <c r="RQN166"/>
      <c r="RQO166"/>
      <c r="RQP166"/>
      <c r="RQQ166"/>
      <c r="RQR166"/>
      <c r="RQS166"/>
      <c r="RQT166"/>
      <c r="RQU166"/>
      <c r="RQV166"/>
      <c r="RQW166"/>
      <c r="RQX166"/>
      <c r="RQY166"/>
      <c r="RQZ166"/>
      <c r="RRA166"/>
      <c r="RRB166"/>
      <c r="RRC166"/>
      <c r="RRD166"/>
      <c r="RRE166"/>
      <c r="RRF166"/>
      <c r="RRG166"/>
      <c r="RRH166"/>
      <c r="RRI166"/>
      <c r="RRJ166"/>
      <c r="RRK166"/>
      <c r="RRL166"/>
      <c r="RRM166"/>
      <c r="RRN166"/>
      <c r="RRO166"/>
      <c r="RRP166"/>
      <c r="RRQ166"/>
      <c r="RRR166"/>
      <c r="RRS166"/>
      <c r="RRT166"/>
      <c r="RRU166"/>
      <c r="RRV166"/>
      <c r="RRW166"/>
      <c r="RRX166"/>
      <c r="RRY166"/>
      <c r="RRZ166"/>
      <c r="RSA166"/>
      <c r="RSB166"/>
      <c r="RSC166"/>
      <c r="RSD166"/>
      <c r="RSE166"/>
      <c r="RSF166"/>
      <c r="RSG166"/>
      <c r="RSH166"/>
      <c r="RSI166"/>
      <c r="RSJ166"/>
      <c r="RSK166"/>
      <c r="RSL166"/>
      <c r="RSM166"/>
      <c r="RSN166"/>
      <c r="RSO166"/>
      <c r="RSP166"/>
      <c r="RSQ166"/>
      <c r="RSR166"/>
      <c r="RSS166"/>
      <c r="RST166"/>
      <c r="RSU166"/>
      <c r="RSV166"/>
      <c r="RSW166"/>
      <c r="RSX166"/>
      <c r="RSY166"/>
      <c r="RSZ166"/>
      <c r="RTA166"/>
      <c r="RTB166"/>
      <c r="RTC166"/>
      <c r="RTD166"/>
      <c r="RTE166"/>
      <c r="RTF166"/>
      <c r="RTG166"/>
      <c r="RTH166"/>
      <c r="RTI166"/>
      <c r="RTJ166"/>
      <c r="RTK166"/>
      <c r="RTL166"/>
      <c r="RTM166"/>
      <c r="RTN166"/>
      <c r="RTO166"/>
      <c r="RTP166"/>
      <c r="RTQ166"/>
      <c r="RTR166"/>
      <c r="RTS166"/>
      <c r="RTT166"/>
      <c r="RTU166"/>
      <c r="RTV166"/>
      <c r="RTW166"/>
      <c r="RTX166"/>
      <c r="RTY166"/>
      <c r="RTZ166"/>
      <c r="RUA166"/>
      <c r="RUB166"/>
      <c r="RUC166"/>
      <c r="RUD166"/>
      <c r="RUE166"/>
      <c r="RUF166"/>
      <c r="RUG166"/>
      <c r="RUH166"/>
      <c r="RUI166"/>
      <c r="RUJ166"/>
      <c r="RUK166"/>
      <c r="RUL166"/>
      <c r="RUM166"/>
      <c r="RUN166"/>
      <c r="RUO166"/>
      <c r="RUP166"/>
      <c r="RUQ166"/>
      <c r="RUR166"/>
      <c r="RUS166"/>
      <c r="RUT166"/>
      <c r="RUU166"/>
      <c r="RUV166"/>
      <c r="RUW166"/>
      <c r="RUX166"/>
      <c r="RUY166"/>
      <c r="RUZ166"/>
      <c r="RVA166"/>
      <c r="RVB166"/>
      <c r="RVC166"/>
      <c r="RVD166"/>
      <c r="RVE166"/>
      <c r="RVF166"/>
      <c r="RVG166"/>
      <c r="RVH166"/>
      <c r="RVI166"/>
      <c r="RVJ166"/>
      <c r="RVK166"/>
      <c r="RVL166"/>
      <c r="RVM166"/>
      <c r="RVN166"/>
      <c r="RVO166"/>
      <c r="RVP166"/>
      <c r="RVQ166"/>
      <c r="RVR166"/>
      <c r="RVS166"/>
      <c r="RVT166"/>
      <c r="RVU166"/>
      <c r="RVV166"/>
      <c r="RVW166"/>
      <c r="RVX166"/>
      <c r="RVY166"/>
      <c r="RVZ166"/>
      <c r="RWA166"/>
      <c r="RWB166"/>
      <c r="RWC166"/>
      <c r="RWD166"/>
      <c r="RWE166"/>
      <c r="RWF166"/>
      <c r="RWG166"/>
      <c r="RWH166"/>
      <c r="RWI166"/>
      <c r="RWJ166"/>
      <c r="RWK166"/>
      <c r="RWL166"/>
      <c r="RWM166"/>
      <c r="RWN166"/>
      <c r="RWO166"/>
      <c r="RWP166"/>
      <c r="RWQ166"/>
      <c r="RWR166"/>
      <c r="RWS166"/>
      <c r="RWT166"/>
      <c r="RWU166"/>
      <c r="RWV166"/>
      <c r="RWW166"/>
      <c r="RWX166"/>
      <c r="RWY166"/>
      <c r="RWZ166"/>
      <c r="RXA166"/>
      <c r="RXB166"/>
      <c r="RXC166"/>
      <c r="RXD166"/>
      <c r="RXE166"/>
      <c r="RXF166"/>
      <c r="RXG166"/>
      <c r="RXH166"/>
      <c r="RXI166"/>
      <c r="RXJ166"/>
      <c r="RXK166"/>
      <c r="RXL166"/>
      <c r="RXM166"/>
      <c r="RXN166"/>
      <c r="RXO166"/>
      <c r="RXP166"/>
      <c r="RXQ166"/>
      <c r="RXR166"/>
      <c r="RXS166"/>
      <c r="RXT166"/>
      <c r="RXU166"/>
      <c r="RXV166"/>
      <c r="RXW166"/>
      <c r="RXX166"/>
      <c r="RXY166"/>
      <c r="RXZ166"/>
      <c r="RYA166"/>
      <c r="RYB166"/>
      <c r="RYC166"/>
      <c r="RYD166"/>
      <c r="RYE166"/>
      <c r="RYF166"/>
      <c r="RYG166"/>
      <c r="RYH166"/>
      <c r="RYI166"/>
      <c r="RYJ166"/>
      <c r="RYK166"/>
      <c r="RYL166"/>
      <c r="RYM166"/>
      <c r="RYN166"/>
      <c r="RYO166"/>
      <c r="RYP166"/>
      <c r="RYQ166"/>
      <c r="RYR166"/>
      <c r="RYS166"/>
      <c r="RYT166"/>
      <c r="RYU166"/>
      <c r="RYV166"/>
      <c r="RYW166"/>
      <c r="RYX166"/>
      <c r="RYY166"/>
      <c r="RYZ166"/>
      <c r="RZA166"/>
      <c r="RZB166"/>
      <c r="RZC166"/>
      <c r="RZD166"/>
      <c r="RZE166"/>
      <c r="RZF166"/>
      <c r="RZG166"/>
      <c r="RZH166"/>
      <c r="RZI166"/>
      <c r="RZJ166"/>
      <c r="RZK166"/>
      <c r="RZL166"/>
      <c r="RZM166"/>
      <c r="RZN166"/>
      <c r="RZO166"/>
      <c r="RZP166"/>
      <c r="RZQ166"/>
      <c r="RZR166"/>
      <c r="RZS166"/>
      <c r="RZT166"/>
      <c r="RZU166"/>
      <c r="RZV166"/>
      <c r="RZW166"/>
      <c r="RZX166"/>
      <c r="RZY166"/>
      <c r="RZZ166"/>
      <c r="SAA166"/>
      <c r="SAB166"/>
      <c r="SAC166"/>
      <c r="SAD166"/>
      <c r="SAE166"/>
      <c r="SAF166"/>
      <c r="SAG166"/>
      <c r="SAH166"/>
      <c r="SAI166"/>
      <c r="SAJ166"/>
      <c r="SAK166"/>
      <c r="SAL166"/>
      <c r="SAM166"/>
      <c r="SAN166"/>
      <c r="SAO166"/>
      <c r="SAP166"/>
      <c r="SAQ166"/>
      <c r="SAR166"/>
      <c r="SAS166"/>
      <c r="SAT166"/>
      <c r="SAU166"/>
      <c r="SAV166"/>
      <c r="SAW166"/>
      <c r="SAX166"/>
      <c r="SAY166"/>
      <c r="SAZ166"/>
      <c r="SBA166"/>
      <c r="SBB166"/>
      <c r="SBC166"/>
      <c r="SBD166"/>
      <c r="SBE166"/>
      <c r="SBF166"/>
      <c r="SBG166"/>
      <c r="SBH166"/>
      <c r="SBI166"/>
      <c r="SBJ166"/>
      <c r="SBK166"/>
      <c r="SBL166"/>
      <c r="SBM166"/>
      <c r="SBN166"/>
      <c r="SBO166"/>
      <c r="SBP166"/>
      <c r="SBQ166"/>
      <c r="SBR166"/>
      <c r="SBS166"/>
      <c r="SBT166"/>
      <c r="SBU166"/>
      <c r="SBV166"/>
      <c r="SBW166"/>
      <c r="SBX166"/>
      <c r="SBY166"/>
      <c r="SBZ166"/>
      <c r="SCA166"/>
      <c r="SCB166"/>
      <c r="SCC166"/>
      <c r="SCD166"/>
      <c r="SCE166"/>
      <c r="SCF166"/>
      <c r="SCG166"/>
      <c r="SCH166"/>
      <c r="SCI166"/>
      <c r="SCJ166"/>
      <c r="SCK166"/>
      <c r="SCL166"/>
      <c r="SCM166"/>
      <c r="SCN166"/>
      <c r="SCO166"/>
      <c r="SCP166"/>
      <c r="SCQ166"/>
      <c r="SCR166"/>
      <c r="SCS166"/>
      <c r="SCT166"/>
      <c r="SCU166"/>
      <c r="SCV166"/>
      <c r="SCW166"/>
      <c r="SCX166"/>
      <c r="SCY166"/>
      <c r="SCZ166"/>
      <c r="SDA166"/>
      <c r="SDB166"/>
      <c r="SDC166"/>
      <c r="SDD166"/>
      <c r="SDE166"/>
      <c r="SDF166"/>
      <c r="SDG166"/>
      <c r="SDH166"/>
      <c r="SDI166"/>
      <c r="SDJ166"/>
      <c r="SDK166"/>
      <c r="SDL166"/>
      <c r="SDM166"/>
      <c r="SDN166"/>
      <c r="SDO166"/>
      <c r="SDP166"/>
      <c r="SDQ166"/>
      <c r="SDR166"/>
      <c r="SDS166"/>
      <c r="SDT166"/>
      <c r="SDU166"/>
      <c r="SDV166"/>
      <c r="SDW166"/>
      <c r="SDX166"/>
      <c r="SDY166"/>
      <c r="SDZ166"/>
      <c r="SEA166"/>
      <c r="SEB166"/>
      <c r="SEC166"/>
      <c r="SED166"/>
      <c r="SEE166"/>
      <c r="SEF166"/>
      <c r="SEG166"/>
      <c r="SEH166"/>
      <c r="SEI166"/>
      <c r="SEJ166"/>
      <c r="SEK166"/>
      <c r="SEL166"/>
      <c r="SEM166"/>
      <c r="SEN166"/>
      <c r="SEO166"/>
      <c r="SEP166"/>
      <c r="SEQ166"/>
      <c r="SER166"/>
      <c r="SES166"/>
      <c r="SET166"/>
      <c r="SEU166"/>
      <c r="SEV166"/>
      <c r="SEW166"/>
      <c r="SEX166"/>
      <c r="SEY166"/>
      <c r="SEZ166"/>
      <c r="SFA166"/>
      <c r="SFB166"/>
      <c r="SFC166"/>
      <c r="SFD166"/>
      <c r="SFE166"/>
      <c r="SFF166"/>
      <c r="SFG166"/>
      <c r="SFH166"/>
      <c r="SFI166"/>
      <c r="SFJ166"/>
      <c r="SFK166"/>
      <c r="SFL166"/>
      <c r="SFM166"/>
      <c r="SFN166"/>
      <c r="SFO166"/>
      <c r="SFP166"/>
      <c r="SFQ166"/>
      <c r="SFR166"/>
      <c r="SFS166"/>
      <c r="SFT166"/>
      <c r="SFU166"/>
      <c r="SFV166"/>
      <c r="SFW166"/>
      <c r="SFX166"/>
      <c r="SFY166"/>
      <c r="SFZ166"/>
      <c r="SGA166"/>
      <c r="SGB166"/>
      <c r="SGC166"/>
      <c r="SGD166"/>
      <c r="SGE166"/>
      <c r="SGF166"/>
      <c r="SGG166"/>
      <c r="SGH166"/>
      <c r="SGI166"/>
      <c r="SGJ166"/>
      <c r="SGK166"/>
      <c r="SGL166"/>
      <c r="SGM166"/>
      <c r="SGN166"/>
      <c r="SGO166"/>
      <c r="SGP166"/>
      <c r="SGQ166"/>
      <c r="SGR166"/>
      <c r="SGS166"/>
      <c r="SGT166"/>
      <c r="SGU166"/>
      <c r="SGV166"/>
      <c r="SGW166"/>
      <c r="SGX166"/>
      <c r="SGY166"/>
      <c r="SGZ166"/>
      <c r="SHA166"/>
      <c r="SHB166"/>
      <c r="SHC166"/>
      <c r="SHD166"/>
      <c r="SHE166"/>
      <c r="SHF166"/>
      <c r="SHG166"/>
      <c r="SHH166"/>
      <c r="SHI166"/>
      <c r="SHJ166"/>
      <c r="SHK166"/>
      <c r="SHL166"/>
      <c r="SHM166"/>
      <c r="SHN166"/>
      <c r="SHO166"/>
      <c r="SHP166"/>
      <c r="SHQ166"/>
      <c r="SHR166"/>
      <c r="SHS166"/>
      <c r="SHT166"/>
      <c r="SHU166"/>
      <c r="SHV166"/>
      <c r="SHW166"/>
      <c r="SHX166"/>
      <c r="SHY166"/>
      <c r="SHZ166"/>
      <c r="SIA166"/>
      <c r="SIB166"/>
      <c r="SIC166"/>
      <c r="SID166"/>
      <c r="SIE166"/>
      <c r="SIF166"/>
      <c r="SIG166"/>
      <c r="SIH166"/>
      <c r="SII166"/>
      <c r="SIJ166"/>
      <c r="SIK166"/>
      <c r="SIL166"/>
      <c r="SIM166"/>
      <c r="SIN166"/>
      <c r="SIO166"/>
      <c r="SIP166"/>
      <c r="SIQ166"/>
      <c r="SIR166"/>
      <c r="SIS166"/>
      <c r="SIT166"/>
      <c r="SIU166"/>
      <c r="SIV166"/>
      <c r="SIW166"/>
      <c r="SIX166"/>
      <c r="SIY166"/>
      <c r="SIZ166"/>
      <c r="SJA166"/>
      <c r="SJB166"/>
      <c r="SJC166"/>
      <c r="SJD166"/>
      <c r="SJE166"/>
      <c r="SJF166"/>
      <c r="SJG166"/>
      <c r="SJH166"/>
      <c r="SJI166"/>
      <c r="SJJ166"/>
      <c r="SJK166"/>
      <c r="SJL166"/>
      <c r="SJM166"/>
      <c r="SJN166"/>
      <c r="SJO166"/>
      <c r="SJP166"/>
      <c r="SJQ166"/>
      <c r="SJR166"/>
      <c r="SJS166"/>
      <c r="SJT166"/>
      <c r="SJU166"/>
      <c r="SJV166"/>
      <c r="SJW166"/>
      <c r="SJX166"/>
      <c r="SJY166"/>
      <c r="SJZ166"/>
      <c r="SKA166"/>
      <c r="SKB166"/>
      <c r="SKC166"/>
      <c r="SKD166"/>
      <c r="SKE166"/>
      <c r="SKF166"/>
      <c r="SKG166"/>
      <c r="SKH166"/>
      <c r="SKI166"/>
      <c r="SKJ166"/>
      <c r="SKK166"/>
      <c r="SKL166"/>
      <c r="SKM166"/>
      <c r="SKN166"/>
      <c r="SKO166"/>
      <c r="SKP166"/>
      <c r="SKQ166"/>
      <c r="SKR166"/>
      <c r="SKS166"/>
      <c r="SKT166"/>
      <c r="SKU166"/>
      <c r="SKV166"/>
      <c r="SKW166"/>
      <c r="SKX166"/>
      <c r="SKY166"/>
      <c r="SKZ166"/>
      <c r="SLA166"/>
      <c r="SLB166"/>
      <c r="SLC166"/>
      <c r="SLD166"/>
      <c r="SLE166"/>
      <c r="SLF166"/>
      <c r="SLG166"/>
      <c r="SLH166"/>
      <c r="SLI166"/>
      <c r="SLJ166"/>
      <c r="SLK166"/>
      <c r="SLL166"/>
      <c r="SLM166"/>
      <c r="SLN166"/>
      <c r="SLO166"/>
      <c r="SLP166"/>
      <c r="SLQ166"/>
      <c r="SLR166"/>
      <c r="SLS166"/>
      <c r="SLT166"/>
      <c r="SLU166"/>
      <c r="SLV166"/>
      <c r="SLW166"/>
      <c r="SLX166"/>
      <c r="SLY166"/>
      <c r="SLZ166"/>
      <c r="SMA166"/>
      <c r="SMB166"/>
      <c r="SMC166"/>
      <c r="SMD166"/>
      <c r="SME166"/>
      <c r="SMF166"/>
      <c r="SMG166"/>
      <c r="SMH166"/>
      <c r="SMI166"/>
      <c r="SMJ166"/>
      <c r="SMK166"/>
      <c r="SML166"/>
      <c r="SMM166"/>
      <c r="SMN166"/>
      <c r="SMO166"/>
      <c r="SMP166"/>
      <c r="SMQ166"/>
      <c r="SMR166"/>
      <c r="SMS166"/>
      <c r="SMT166"/>
      <c r="SMU166"/>
      <c r="SMV166"/>
      <c r="SMW166"/>
      <c r="SMX166"/>
      <c r="SMY166"/>
      <c r="SMZ166"/>
      <c r="SNA166"/>
      <c r="SNB166"/>
      <c r="SNC166"/>
      <c r="SND166"/>
      <c r="SNE166"/>
      <c r="SNF166"/>
      <c r="SNG166"/>
      <c r="SNH166"/>
      <c r="SNI166"/>
      <c r="SNJ166"/>
      <c r="SNK166"/>
      <c r="SNL166"/>
      <c r="SNM166"/>
      <c r="SNN166"/>
      <c r="SNO166"/>
      <c r="SNP166"/>
      <c r="SNQ166"/>
      <c r="SNR166"/>
      <c r="SNS166"/>
      <c r="SNT166"/>
      <c r="SNU166"/>
      <c r="SNV166"/>
      <c r="SNW166"/>
      <c r="SNX166"/>
      <c r="SNY166"/>
      <c r="SNZ166"/>
      <c r="SOA166"/>
      <c r="SOB166"/>
      <c r="SOC166"/>
      <c r="SOD166"/>
      <c r="SOE166"/>
      <c r="SOF166"/>
      <c r="SOG166"/>
      <c r="SOH166"/>
      <c r="SOI166"/>
      <c r="SOJ166"/>
      <c r="SOK166"/>
      <c r="SOL166"/>
      <c r="SOM166"/>
      <c r="SON166"/>
      <c r="SOO166"/>
      <c r="SOP166"/>
      <c r="SOQ166"/>
      <c r="SOR166"/>
      <c r="SOS166"/>
      <c r="SOT166"/>
      <c r="SOU166"/>
      <c r="SOV166"/>
      <c r="SOW166"/>
      <c r="SOX166"/>
      <c r="SOY166"/>
      <c r="SOZ166"/>
      <c r="SPA166"/>
      <c r="SPB166"/>
      <c r="SPC166"/>
      <c r="SPD166"/>
      <c r="SPE166"/>
      <c r="SPF166"/>
      <c r="SPG166"/>
      <c r="SPH166"/>
      <c r="SPI166"/>
      <c r="SPJ166"/>
      <c r="SPK166"/>
      <c r="SPL166"/>
      <c r="SPM166"/>
      <c r="SPN166"/>
      <c r="SPO166"/>
      <c r="SPP166"/>
      <c r="SPQ166"/>
      <c r="SPR166"/>
      <c r="SPS166"/>
      <c r="SPT166"/>
      <c r="SPU166"/>
      <c r="SPV166"/>
      <c r="SPW166"/>
      <c r="SPX166"/>
      <c r="SPY166"/>
      <c r="SPZ166"/>
      <c r="SQA166"/>
      <c r="SQB166"/>
      <c r="SQC166"/>
      <c r="SQD166"/>
      <c r="SQE166"/>
      <c r="SQF166"/>
      <c r="SQG166"/>
      <c r="SQH166"/>
      <c r="SQI166"/>
      <c r="SQJ166"/>
      <c r="SQK166"/>
      <c r="SQL166"/>
      <c r="SQM166"/>
      <c r="SQN166"/>
      <c r="SQO166"/>
      <c r="SQP166"/>
      <c r="SQQ166"/>
      <c r="SQR166"/>
      <c r="SQS166"/>
      <c r="SQT166"/>
      <c r="SQU166"/>
      <c r="SQV166"/>
      <c r="SQW166"/>
      <c r="SQX166"/>
      <c r="SQY166"/>
      <c r="SQZ166"/>
      <c r="SRA166"/>
      <c r="SRB166"/>
      <c r="SRC166"/>
      <c r="SRD166"/>
      <c r="SRE166"/>
      <c r="SRF166"/>
      <c r="SRG166"/>
      <c r="SRH166"/>
      <c r="SRI166"/>
      <c r="SRJ166"/>
      <c r="SRK166"/>
      <c r="SRL166"/>
      <c r="SRM166"/>
      <c r="SRN166"/>
      <c r="SRO166"/>
      <c r="SRP166"/>
      <c r="SRQ166"/>
      <c r="SRR166"/>
      <c r="SRS166"/>
      <c r="SRT166"/>
      <c r="SRU166"/>
      <c r="SRV166"/>
      <c r="SRW166"/>
      <c r="SRX166"/>
      <c r="SRY166"/>
      <c r="SRZ166"/>
      <c r="SSA166"/>
      <c r="SSB166"/>
      <c r="SSC166"/>
      <c r="SSD166"/>
      <c r="SSE166"/>
      <c r="SSF166"/>
      <c r="SSG166"/>
      <c r="SSH166"/>
      <c r="SSI166"/>
      <c r="SSJ166"/>
      <c r="SSK166"/>
      <c r="SSL166"/>
      <c r="SSM166"/>
      <c r="SSN166"/>
      <c r="SSO166"/>
      <c r="SSP166"/>
      <c r="SSQ166"/>
      <c r="SSR166"/>
      <c r="SSS166"/>
      <c r="SST166"/>
      <c r="SSU166"/>
      <c r="SSV166"/>
      <c r="SSW166"/>
      <c r="SSX166"/>
      <c r="SSY166"/>
      <c r="SSZ166"/>
      <c r="STA166"/>
      <c r="STB166"/>
      <c r="STC166"/>
      <c r="STD166"/>
      <c r="STE166"/>
      <c r="STF166"/>
      <c r="STG166"/>
      <c r="STH166"/>
      <c r="STI166"/>
      <c r="STJ166"/>
      <c r="STK166"/>
      <c r="STL166"/>
      <c r="STM166"/>
      <c r="STN166"/>
      <c r="STO166"/>
      <c r="STP166"/>
      <c r="STQ166"/>
      <c r="STR166"/>
      <c r="STS166"/>
      <c r="STT166"/>
      <c r="STU166"/>
      <c r="STV166"/>
      <c r="STW166"/>
      <c r="STX166"/>
      <c r="STY166"/>
      <c r="STZ166"/>
      <c r="SUA166"/>
      <c r="SUB166"/>
      <c r="SUC166"/>
      <c r="SUD166"/>
      <c r="SUE166"/>
      <c r="SUF166"/>
      <c r="SUG166"/>
      <c r="SUH166"/>
      <c r="SUI166"/>
      <c r="SUJ166"/>
      <c r="SUK166"/>
      <c r="SUL166"/>
      <c r="SUM166"/>
      <c r="SUN166"/>
      <c r="SUO166"/>
      <c r="SUP166"/>
      <c r="SUQ166"/>
      <c r="SUR166"/>
      <c r="SUS166"/>
      <c r="SUT166"/>
      <c r="SUU166"/>
      <c r="SUV166"/>
      <c r="SUW166"/>
      <c r="SUX166"/>
      <c r="SUY166"/>
      <c r="SUZ166"/>
      <c r="SVA166"/>
      <c r="SVB166"/>
      <c r="SVC166"/>
      <c r="SVD166"/>
      <c r="SVE166"/>
      <c r="SVF166"/>
      <c r="SVG166"/>
      <c r="SVH166"/>
      <c r="SVI166"/>
      <c r="SVJ166"/>
      <c r="SVK166"/>
      <c r="SVL166"/>
      <c r="SVM166"/>
      <c r="SVN166"/>
      <c r="SVO166"/>
      <c r="SVP166"/>
      <c r="SVQ166"/>
      <c r="SVR166"/>
      <c r="SVS166"/>
      <c r="SVT166"/>
      <c r="SVU166"/>
      <c r="SVV166"/>
      <c r="SVW166"/>
      <c r="SVX166"/>
      <c r="SVY166"/>
      <c r="SVZ166"/>
      <c r="SWA166"/>
      <c r="SWB166"/>
      <c r="SWC166"/>
      <c r="SWD166"/>
      <c r="SWE166"/>
      <c r="SWF166"/>
      <c r="SWG166"/>
      <c r="SWH166"/>
      <c r="SWI166"/>
      <c r="SWJ166"/>
      <c r="SWK166"/>
      <c r="SWL166"/>
      <c r="SWM166"/>
      <c r="SWN166"/>
      <c r="SWO166"/>
      <c r="SWP166"/>
      <c r="SWQ166"/>
      <c r="SWR166"/>
      <c r="SWS166"/>
      <c r="SWT166"/>
      <c r="SWU166"/>
      <c r="SWV166"/>
      <c r="SWW166"/>
      <c r="SWX166"/>
      <c r="SWY166"/>
      <c r="SWZ166"/>
      <c r="SXA166"/>
      <c r="SXB166"/>
      <c r="SXC166"/>
      <c r="SXD166"/>
      <c r="SXE166"/>
      <c r="SXF166"/>
      <c r="SXG166"/>
      <c r="SXH166"/>
      <c r="SXI166"/>
      <c r="SXJ166"/>
      <c r="SXK166"/>
      <c r="SXL166"/>
      <c r="SXM166"/>
      <c r="SXN166"/>
      <c r="SXO166"/>
      <c r="SXP166"/>
      <c r="SXQ166"/>
      <c r="SXR166"/>
      <c r="SXS166"/>
      <c r="SXT166"/>
      <c r="SXU166"/>
      <c r="SXV166"/>
      <c r="SXW166"/>
      <c r="SXX166"/>
      <c r="SXY166"/>
      <c r="SXZ166"/>
      <c r="SYA166"/>
      <c r="SYB166"/>
      <c r="SYC166"/>
      <c r="SYD166"/>
      <c r="SYE166"/>
      <c r="SYF166"/>
      <c r="SYG166"/>
      <c r="SYH166"/>
      <c r="SYI166"/>
      <c r="SYJ166"/>
      <c r="SYK166"/>
      <c r="SYL166"/>
      <c r="SYM166"/>
      <c r="SYN166"/>
      <c r="SYO166"/>
      <c r="SYP166"/>
      <c r="SYQ166"/>
      <c r="SYR166"/>
      <c r="SYS166"/>
      <c r="SYT166"/>
      <c r="SYU166"/>
      <c r="SYV166"/>
      <c r="SYW166"/>
      <c r="SYX166"/>
      <c r="SYY166"/>
      <c r="SYZ166"/>
      <c r="SZA166"/>
      <c r="SZB166"/>
      <c r="SZC166"/>
      <c r="SZD166"/>
      <c r="SZE166"/>
      <c r="SZF166"/>
      <c r="SZG166"/>
      <c r="SZH166"/>
      <c r="SZI166"/>
      <c r="SZJ166"/>
      <c r="SZK166"/>
      <c r="SZL166"/>
      <c r="SZM166"/>
      <c r="SZN166"/>
      <c r="SZO166"/>
      <c r="SZP166"/>
      <c r="SZQ166"/>
      <c r="SZR166"/>
      <c r="SZS166"/>
      <c r="SZT166"/>
      <c r="SZU166"/>
      <c r="SZV166"/>
      <c r="SZW166"/>
      <c r="SZX166"/>
      <c r="SZY166"/>
      <c r="SZZ166"/>
      <c r="TAA166"/>
      <c r="TAB166"/>
      <c r="TAC166"/>
      <c r="TAD166"/>
      <c r="TAE166"/>
      <c r="TAF166"/>
      <c r="TAG166"/>
      <c r="TAH166"/>
      <c r="TAI166"/>
      <c r="TAJ166"/>
      <c r="TAK166"/>
      <c r="TAL166"/>
      <c r="TAM166"/>
      <c r="TAN166"/>
      <c r="TAO166"/>
      <c r="TAP166"/>
      <c r="TAQ166"/>
      <c r="TAR166"/>
      <c r="TAS166"/>
      <c r="TAT166"/>
      <c r="TAU166"/>
      <c r="TAV166"/>
      <c r="TAW166"/>
      <c r="TAX166"/>
      <c r="TAY166"/>
      <c r="TAZ166"/>
      <c r="TBA166"/>
      <c r="TBB166"/>
      <c r="TBC166"/>
      <c r="TBD166"/>
      <c r="TBE166"/>
      <c r="TBF166"/>
      <c r="TBG166"/>
      <c r="TBH166"/>
      <c r="TBI166"/>
      <c r="TBJ166"/>
      <c r="TBK166"/>
      <c r="TBL166"/>
      <c r="TBM166"/>
      <c r="TBN166"/>
      <c r="TBO166"/>
      <c r="TBP166"/>
      <c r="TBQ166"/>
      <c r="TBR166"/>
      <c r="TBS166"/>
      <c r="TBT166"/>
      <c r="TBU166"/>
      <c r="TBV166"/>
      <c r="TBW166"/>
      <c r="TBX166"/>
      <c r="TBY166"/>
      <c r="TBZ166"/>
      <c r="TCA166"/>
      <c r="TCB166"/>
      <c r="TCC166"/>
      <c r="TCD166"/>
      <c r="TCE166"/>
      <c r="TCF166"/>
      <c r="TCG166"/>
      <c r="TCH166"/>
      <c r="TCI166"/>
      <c r="TCJ166"/>
      <c r="TCK166"/>
      <c r="TCL166"/>
      <c r="TCM166"/>
      <c r="TCN166"/>
      <c r="TCO166"/>
      <c r="TCP166"/>
      <c r="TCQ166"/>
      <c r="TCR166"/>
      <c r="TCS166"/>
      <c r="TCT166"/>
      <c r="TCU166"/>
      <c r="TCV166"/>
      <c r="TCW166"/>
      <c r="TCX166"/>
      <c r="TCY166"/>
      <c r="TCZ166"/>
      <c r="TDA166"/>
      <c r="TDB166"/>
      <c r="TDC166"/>
      <c r="TDD166"/>
      <c r="TDE166"/>
      <c r="TDF166"/>
      <c r="TDG166"/>
      <c r="TDH166"/>
      <c r="TDI166"/>
      <c r="TDJ166"/>
      <c r="TDK166"/>
      <c r="TDL166"/>
      <c r="TDM166"/>
      <c r="TDN166"/>
      <c r="TDO166"/>
      <c r="TDP166"/>
      <c r="TDQ166"/>
      <c r="TDR166"/>
      <c r="TDS166"/>
      <c r="TDT166"/>
      <c r="TDU166"/>
      <c r="TDV166"/>
      <c r="TDW166"/>
      <c r="TDX166"/>
      <c r="TDY166"/>
      <c r="TDZ166"/>
      <c r="TEA166"/>
      <c r="TEB166"/>
      <c r="TEC166"/>
      <c r="TED166"/>
      <c r="TEE166"/>
      <c r="TEF166"/>
      <c r="TEG166"/>
      <c r="TEH166"/>
      <c r="TEI166"/>
      <c r="TEJ166"/>
      <c r="TEK166"/>
      <c r="TEL166"/>
      <c r="TEM166"/>
      <c r="TEN166"/>
      <c r="TEO166"/>
      <c r="TEP166"/>
      <c r="TEQ166"/>
      <c r="TER166"/>
      <c r="TES166"/>
      <c r="TET166"/>
      <c r="TEU166"/>
      <c r="TEV166"/>
      <c r="TEW166"/>
      <c r="TEX166"/>
      <c r="TEY166"/>
      <c r="TEZ166"/>
      <c r="TFA166"/>
      <c r="TFB166"/>
      <c r="TFC166"/>
      <c r="TFD166"/>
      <c r="TFE166"/>
      <c r="TFF166"/>
      <c r="TFG166"/>
      <c r="TFH166"/>
      <c r="TFI166"/>
      <c r="TFJ166"/>
      <c r="TFK166"/>
      <c r="TFL166"/>
      <c r="TFM166"/>
      <c r="TFN166"/>
      <c r="TFO166"/>
      <c r="TFP166"/>
      <c r="TFQ166"/>
      <c r="TFR166"/>
      <c r="TFS166"/>
      <c r="TFT166"/>
      <c r="TFU166"/>
      <c r="TFV166"/>
      <c r="TFW166"/>
      <c r="TFX166"/>
      <c r="TFY166"/>
      <c r="TFZ166"/>
      <c r="TGA166"/>
      <c r="TGB166"/>
      <c r="TGC166"/>
      <c r="TGD166"/>
      <c r="TGE166"/>
      <c r="TGF166"/>
      <c r="TGG166"/>
      <c r="TGH166"/>
      <c r="TGI166"/>
      <c r="TGJ166"/>
      <c r="TGK166"/>
      <c r="TGL166"/>
      <c r="TGM166"/>
      <c r="TGN166"/>
      <c r="TGO166"/>
      <c r="TGP166"/>
      <c r="TGQ166"/>
      <c r="TGR166"/>
      <c r="TGS166"/>
      <c r="TGT166"/>
      <c r="TGU166"/>
      <c r="TGV166"/>
      <c r="TGW166"/>
      <c r="TGX166"/>
      <c r="TGY166"/>
      <c r="TGZ166"/>
      <c r="THA166"/>
      <c r="THB166"/>
      <c r="THC166"/>
      <c r="THD166"/>
      <c r="THE166"/>
      <c r="THF166"/>
      <c r="THG166"/>
      <c r="THH166"/>
      <c r="THI166"/>
      <c r="THJ166"/>
      <c r="THK166"/>
      <c r="THL166"/>
      <c r="THM166"/>
      <c r="THN166"/>
      <c r="THO166"/>
      <c r="THP166"/>
      <c r="THQ166"/>
      <c r="THR166"/>
      <c r="THS166"/>
      <c r="THT166"/>
      <c r="THU166"/>
      <c r="THV166"/>
      <c r="THW166"/>
      <c r="THX166"/>
      <c r="THY166"/>
      <c r="THZ166"/>
      <c r="TIA166"/>
      <c r="TIB166"/>
      <c r="TIC166"/>
      <c r="TID166"/>
      <c r="TIE166"/>
      <c r="TIF166"/>
      <c r="TIG166"/>
      <c r="TIH166"/>
      <c r="TII166"/>
      <c r="TIJ166"/>
      <c r="TIK166"/>
      <c r="TIL166"/>
      <c r="TIM166"/>
      <c r="TIN166"/>
      <c r="TIO166"/>
      <c r="TIP166"/>
      <c r="TIQ166"/>
      <c r="TIR166"/>
      <c r="TIS166"/>
      <c r="TIT166"/>
      <c r="TIU166"/>
      <c r="TIV166"/>
      <c r="TIW166"/>
      <c r="TIX166"/>
      <c r="TIY166"/>
      <c r="TIZ166"/>
      <c r="TJA166"/>
      <c r="TJB166"/>
      <c r="TJC166"/>
      <c r="TJD166"/>
      <c r="TJE166"/>
      <c r="TJF166"/>
      <c r="TJG166"/>
      <c r="TJH166"/>
      <c r="TJI166"/>
      <c r="TJJ166"/>
      <c r="TJK166"/>
      <c r="TJL166"/>
      <c r="TJM166"/>
      <c r="TJN166"/>
      <c r="TJO166"/>
      <c r="TJP166"/>
      <c r="TJQ166"/>
      <c r="TJR166"/>
      <c r="TJS166"/>
      <c r="TJT166"/>
      <c r="TJU166"/>
      <c r="TJV166"/>
      <c r="TJW166"/>
      <c r="TJX166"/>
      <c r="TJY166"/>
      <c r="TJZ166"/>
      <c r="TKA166"/>
      <c r="TKB166"/>
      <c r="TKC166"/>
      <c r="TKD166"/>
      <c r="TKE166"/>
      <c r="TKF166"/>
      <c r="TKG166"/>
      <c r="TKH166"/>
      <c r="TKI166"/>
      <c r="TKJ166"/>
      <c r="TKK166"/>
      <c r="TKL166"/>
      <c r="TKM166"/>
      <c r="TKN166"/>
      <c r="TKO166"/>
      <c r="TKP166"/>
      <c r="TKQ166"/>
      <c r="TKR166"/>
      <c r="TKS166"/>
      <c r="TKT166"/>
      <c r="TKU166"/>
      <c r="TKV166"/>
      <c r="TKW166"/>
      <c r="TKX166"/>
      <c r="TKY166"/>
      <c r="TKZ166"/>
      <c r="TLA166"/>
      <c r="TLB166"/>
      <c r="TLC166"/>
      <c r="TLD166"/>
      <c r="TLE166"/>
      <c r="TLF166"/>
      <c r="TLG166"/>
      <c r="TLH166"/>
      <c r="TLI166"/>
      <c r="TLJ166"/>
      <c r="TLK166"/>
      <c r="TLL166"/>
      <c r="TLM166"/>
      <c r="TLN166"/>
      <c r="TLO166"/>
      <c r="TLP166"/>
      <c r="TLQ166"/>
      <c r="TLR166"/>
      <c r="TLS166"/>
      <c r="TLT166"/>
      <c r="TLU166"/>
      <c r="TLV166"/>
      <c r="TLW166"/>
      <c r="TLX166"/>
      <c r="TLY166"/>
      <c r="TLZ166"/>
      <c r="TMA166"/>
      <c r="TMB166"/>
      <c r="TMC166"/>
      <c r="TMD166"/>
      <c r="TME166"/>
      <c r="TMF166"/>
      <c r="TMG166"/>
      <c r="TMH166"/>
      <c r="TMI166"/>
      <c r="TMJ166"/>
      <c r="TMK166"/>
      <c r="TML166"/>
      <c r="TMM166"/>
      <c r="TMN166"/>
      <c r="TMO166"/>
      <c r="TMP166"/>
      <c r="TMQ166"/>
      <c r="TMR166"/>
      <c r="TMS166"/>
      <c r="TMT166"/>
      <c r="TMU166"/>
      <c r="TMV166"/>
      <c r="TMW166"/>
      <c r="TMX166"/>
      <c r="TMY166"/>
      <c r="TMZ166"/>
      <c r="TNA166"/>
      <c r="TNB166"/>
      <c r="TNC166"/>
      <c r="TND166"/>
      <c r="TNE166"/>
      <c r="TNF166"/>
      <c r="TNG166"/>
      <c r="TNH166"/>
      <c r="TNI166"/>
      <c r="TNJ166"/>
      <c r="TNK166"/>
      <c r="TNL166"/>
      <c r="TNM166"/>
      <c r="TNN166"/>
      <c r="TNO166"/>
      <c r="TNP166"/>
      <c r="TNQ166"/>
      <c r="TNR166"/>
      <c r="TNS166"/>
      <c r="TNT166"/>
      <c r="TNU166"/>
      <c r="TNV166"/>
      <c r="TNW166"/>
      <c r="TNX166"/>
      <c r="TNY166"/>
      <c r="TNZ166"/>
      <c r="TOA166"/>
      <c r="TOB166"/>
      <c r="TOC166"/>
      <c r="TOD166"/>
      <c r="TOE166"/>
      <c r="TOF166"/>
      <c r="TOG166"/>
      <c r="TOH166"/>
      <c r="TOI166"/>
      <c r="TOJ166"/>
      <c r="TOK166"/>
      <c r="TOL166"/>
      <c r="TOM166"/>
      <c r="TON166"/>
      <c r="TOO166"/>
      <c r="TOP166"/>
      <c r="TOQ166"/>
      <c r="TOR166"/>
      <c r="TOS166"/>
      <c r="TOT166"/>
      <c r="TOU166"/>
      <c r="TOV166"/>
      <c r="TOW166"/>
      <c r="TOX166"/>
      <c r="TOY166"/>
      <c r="TOZ166"/>
      <c r="TPA166"/>
      <c r="TPB166"/>
      <c r="TPC166"/>
      <c r="TPD166"/>
      <c r="TPE166"/>
      <c r="TPF166"/>
      <c r="TPG166"/>
      <c r="TPH166"/>
      <c r="TPI166"/>
      <c r="TPJ166"/>
      <c r="TPK166"/>
      <c r="TPL166"/>
      <c r="TPM166"/>
      <c r="TPN166"/>
      <c r="TPO166"/>
      <c r="TPP166"/>
      <c r="TPQ166"/>
      <c r="TPR166"/>
      <c r="TPS166"/>
      <c r="TPT166"/>
      <c r="TPU166"/>
      <c r="TPV166"/>
      <c r="TPW166"/>
      <c r="TPX166"/>
      <c r="TPY166"/>
      <c r="TPZ166"/>
      <c r="TQA166"/>
      <c r="TQB166"/>
      <c r="TQC166"/>
      <c r="TQD166"/>
      <c r="TQE166"/>
      <c r="TQF166"/>
      <c r="TQG166"/>
      <c r="TQH166"/>
      <c r="TQI166"/>
      <c r="TQJ166"/>
      <c r="TQK166"/>
      <c r="TQL166"/>
      <c r="TQM166"/>
      <c r="TQN166"/>
      <c r="TQO166"/>
      <c r="TQP166"/>
      <c r="TQQ166"/>
      <c r="TQR166"/>
      <c r="TQS166"/>
      <c r="TQT166"/>
      <c r="TQU166"/>
      <c r="TQV166"/>
      <c r="TQW166"/>
      <c r="TQX166"/>
      <c r="TQY166"/>
      <c r="TQZ166"/>
      <c r="TRA166"/>
      <c r="TRB166"/>
      <c r="TRC166"/>
      <c r="TRD166"/>
      <c r="TRE166"/>
      <c r="TRF166"/>
      <c r="TRG166"/>
      <c r="TRH166"/>
      <c r="TRI166"/>
      <c r="TRJ166"/>
      <c r="TRK166"/>
      <c r="TRL166"/>
      <c r="TRM166"/>
      <c r="TRN166"/>
      <c r="TRO166"/>
      <c r="TRP166"/>
      <c r="TRQ166"/>
      <c r="TRR166"/>
      <c r="TRS166"/>
      <c r="TRT166"/>
      <c r="TRU166"/>
      <c r="TRV166"/>
      <c r="TRW166"/>
      <c r="TRX166"/>
      <c r="TRY166"/>
      <c r="TRZ166"/>
      <c r="TSA166"/>
      <c r="TSB166"/>
      <c r="TSC166"/>
      <c r="TSD166"/>
      <c r="TSE166"/>
      <c r="TSF166"/>
      <c r="TSG166"/>
      <c r="TSH166"/>
      <c r="TSI166"/>
      <c r="TSJ166"/>
      <c r="TSK166"/>
      <c r="TSL166"/>
      <c r="TSM166"/>
      <c r="TSN166"/>
      <c r="TSO166"/>
      <c r="TSP166"/>
      <c r="TSQ166"/>
      <c r="TSR166"/>
      <c r="TSS166"/>
      <c r="TST166"/>
      <c r="TSU166"/>
      <c r="TSV166"/>
      <c r="TSW166"/>
      <c r="TSX166"/>
      <c r="TSY166"/>
      <c r="TSZ166"/>
      <c r="TTA166"/>
      <c r="TTB166"/>
      <c r="TTC166"/>
      <c r="TTD166"/>
      <c r="TTE166"/>
      <c r="TTF166"/>
      <c r="TTG166"/>
      <c r="TTH166"/>
      <c r="TTI166"/>
      <c r="TTJ166"/>
      <c r="TTK166"/>
      <c r="TTL166"/>
      <c r="TTM166"/>
      <c r="TTN166"/>
      <c r="TTO166"/>
      <c r="TTP166"/>
      <c r="TTQ166"/>
      <c r="TTR166"/>
      <c r="TTS166"/>
      <c r="TTT166"/>
      <c r="TTU166"/>
      <c r="TTV166"/>
      <c r="TTW166"/>
      <c r="TTX166"/>
      <c r="TTY166"/>
      <c r="TTZ166"/>
      <c r="TUA166"/>
      <c r="TUB166"/>
      <c r="TUC166"/>
      <c r="TUD166"/>
      <c r="TUE166"/>
      <c r="TUF166"/>
      <c r="TUG166"/>
      <c r="TUH166"/>
      <c r="TUI166"/>
      <c r="TUJ166"/>
      <c r="TUK166"/>
      <c r="TUL166"/>
      <c r="TUM166"/>
      <c r="TUN166"/>
      <c r="TUO166"/>
      <c r="TUP166"/>
      <c r="TUQ166"/>
      <c r="TUR166"/>
      <c r="TUS166"/>
      <c r="TUT166"/>
      <c r="TUU166"/>
      <c r="TUV166"/>
      <c r="TUW166"/>
      <c r="TUX166"/>
      <c r="TUY166"/>
      <c r="TUZ166"/>
      <c r="TVA166"/>
      <c r="TVB166"/>
      <c r="TVC166"/>
      <c r="TVD166"/>
      <c r="TVE166"/>
      <c r="TVF166"/>
      <c r="TVG166"/>
      <c r="TVH166"/>
      <c r="TVI166"/>
      <c r="TVJ166"/>
      <c r="TVK166"/>
      <c r="TVL166"/>
      <c r="TVM166"/>
      <c r="TVN166"/>
      <c r="TVO166"/>
      <c r="TVP166"/>
      <c r="TVQ166"/>
      <c r="TVR166"/>
      <c r="TVS166"/>
      <c r="TVT166"/>
      <c r="TVU166"/>
      <c r="TVV166"/>
      <c r="TVW166"/>
      <c r="TVX166"/>
      <c r="TVY166"/>
      <c r="TVZ166"/>
      <c r="TWA166"/>
      <c r="TWB166"/>
      <c r="TWC166"/>
      <c r="TWD166"/>
      <c r="TWE166"/>
      <c r="TWF166"/>
      <c r="TWG166"/>
      <c r="TWH166"/>
      <c r="TWI166"/>
      <c r="TWJ166"/>
      <c r="TWK166"/>
      <c r="TWL166"/>
      <c r="TWM166"/>
      <c r="TWN166"/>
      <c r="TWO166"/>
      <c r="TWP166"/>
      <c r="TWQ166"/>
      <c r="TWR166"/>
      <c r="TWS166"/>
      <c r="TWT166"/>
      <c r="TWU166"/>
      <c r="TWV166"/>
      <c r="TWW166"/>
      <c r="TWX166"/>
      <c r="TWY166"/>
      <c r="TWZ166"/>
      <c r="TXA166"/>
      <c r="TXB166"/>
      <c r="TXC166"/>
      <c r="TXD166"/>
      <c r="TXE166"/>
      <c r="TXF166"/>
      <c r="TXG166"/>
      <c r="TXH166"/>
      <c r="TXI166"/>
      <c r="TXJ166"/>
      <c r="TXK166"/>
      <c r="TXL166"/>
      <c r="TXM166"/>
      <c r="TXN166"/>
      <c r="TXO166"/>
      <c r="TXP166"/>
      <c r="TXQ166"/>
      <c r="TXR166"/>
      <c r="TXS166"/>
      <c r="TXT166"/>
      <c r="TXU166"/>
      <c r="TXV166"/>
      <c r="TXW166"/>
      <c r="TXX166"/>
      <c r="TXY166"/>
      <c r="TXZ166"/>
      <c r="TYA166"/>
      <c r="TYB166"/>
      <c r="TYC166"/>
      <c r="TYD166"/>
      <c r="TYE166"/>
      <c r="TYF166"/>
      <c r="TYG166"/>
      <c r="TYH166"/>
      <c r="TYI166"/>
      <c r="TYJ166"/>
      <c r="TYK166"/>
      <c r="TYL166"/>
      <c r="TYM166"/>
      <c r="TYN166"/>
      <c r="TYO166"/>
      <c r="TYP166"/>
      <c r="TYQ166"/>
      <c r="TYR166"/>
      <c r="TYS166"/>
      <c r="TYT166"/>
      <c r="TYU166"/>
      <c r="TYV166"/>
      <c r="TYW166"/>
      <c r="TYX166"/>
      <c r="TYY166"/>
      <c r="TYZ166"/>
      <c r="TZA166"/>
      <c r="TZB166"/>
      <c r="TZC166"/>
      <c r="TZD166"/>
      <c r="TZE166"/>
      <c r="TZF166"/>
      <c r="TZG166"/>
      <c r="TZH166"/>
      <c r="TZI166"/>
      <c r="TZJ166"/>
      <c r="TZK166"/>
      <c r="TZL166"/>
      <c r="TZM166"/>
      <c r="TZN166"/>
      <c r="TZO166"/>
      <c r="TZP166"/>
      <c r="TZQ166"/>
      <c r="TZR166"/>
      <c r="TZS166"/>
      <c r="TZT166"/>
      <c r="TZU166"/>
      <c r="TZV166"/>
      <c r="TZW166"/>
      <c r="TZX166"/>
      <c r="TZY166"/>
      <c r="TZZ166"/>
      <c r="UAA166"/>
      <c r="UAB166"/>
      <c r="UAC166"/>
      <c r="UAD166"/>
      <c r="UAE166"/>
      <c r="UAF166"/>
      <c r="UAG166"/>
      <c r="UAH166"/>
      <c r="UAI166"/>
      <c r="UAJ166"/>
      <c r="UAK166"/>
      <c r="UAL166"/>
      <c r="UAM166"/>
      <c r="UAN166"/>
      <c r="UAO166"/>
      <c r="UAP166"/>
      <c r="UAQ166"/>
      <c r="UAR166"/>
      <c r="UAS166"/>
      <c r="UAT166"/>
      <c r="UAU166"/>
      <c r="UAV166"/>
      <c r="UAW166"/>
      <c r="UAX166"/>
      <c r="UAY166"/>
      <c r="UAZ166"/>
      <c r="UBA166"/>
      <c r="UBB166"/>
      <c r="UBC166"/>
      <c r="UBD166"/>
      <c r="UBE166"/>
      <c r="UBF166"/>
      <c r="UBG166"/>
      <c r="UBH166"/>
      <c r="UBI166"/>
      <c r="UBJ166"/>
      <c r="UBK166"/>
      <c r="UBL166"/>
      <c r="UBM166"/>
      <c r="UBN166"/>
      <c r="UBO166"/>
      <c r="UBP166"/>
      <c r="UBQ166"/>
      <c r="UBR166"/>
      <c r="UBS166"/>
      <c r="UBT166"/>
      <c r="UBU166"/>
      <c r="UBV166"/>
      <c r="UBW166"/>
      <c r="UBX166"/>
      <c r="UBY166"/>
      <c r="UBZ166"/>
      <c r="UCA166"/>
      <c r="UCB166"/>
      <c r="UCC166"/>
      <c r="UCD166"/>
      <c r="UCE166"/>
      <c r="UCF166"/>
      <c r="UCG166"/>
      <c r="UCH166"/>
      <c r="UCI166"/>
      <c r="UCJ166"/>
      <c r="UCK166"/>
      <c r="UCL166"/>
      <c r="UCM166"/>
      <c r="UCN166"/>
      <c r="UCO166"/>
      <c r="UCP166"/>
      <c r="UCQ166"/>
      <c r="UCR166"/>
      <c r="UCS166"/>
      <c r="UCT166"/>
      <c r="UCU166"/>
      <c r="UCV166"/>
      <c r="UCW166"/>
      <c r="UCX166"/>
      <c r="UCY166"/>
      <c r="UCZ166"/>
      <c r="UDA166"/>
      <c r="UDB166"/>
      <c r="UDC166"/>
      <c r="UDD166"/>
      <c r="UDE166"/>
      <c r="UDF166"/>
      <c r="UDG166"/>
      <c r="UDH166"/>
      <c r="UDI166"/>
      <c r="UDJ166"/>
      <c r="UDK166"/>
      <c r="UDL166"/>
      <c r="UDM166"/>
      <c r="UDN166"/>
      <c r="UDO166"/>
      <c r="UDP166"/>
      <c r="UDQ166"/>
      <c r="UDR166"/>
      <c r="UDS166"/>
      <c r="UDT166"/>
      <c r="UDU166"/>
      <c r="UDV166"/>
      <c r="UDW166"/>
      <c r="UDX166"/>
      <c r="UDY166"/>
      <c r="UDZ166"/>
      <c r="UEA166"/>
      <c r="UEB166"/>
      <c r="UEC166"/>
      <c r="UED166"/>
      <c r="UEE166"/>
      <c r="UEF166"/>
      <c r="UEG166"/>
      <c r="UEH166"/>
      <c r="UEI166"/>
      <c r="UEJ166"/>
      <c r="UEK166"/>
      <c r="UEL166"/>
      <c r="UEM166"/>
      <c r="UEN166"/>
      <c r="UEO166"/>
      <c r="UEP166"/>
      <c r="UEQ166"/>
      <c r="UER166"/>
      <c r="UES166"/>
      <c r="UET166"/>
      <c r="UEU166"/>
      <c r="UEV166"/>
      <c r="UEW166"/>
      <c r="UEX166"/>
      <c r="UEY166"/>
      <c r="UEZ166"/>
      <c r="UFA166"/>
      <c r="UFB166"/>
      <c r="UFC166"/>
      <c r="UFD166"/>
      <c r="UFE166"/>
      <c r="UFF166"/>
      <c r="UFG166"/>
      <c r="UFH166"/>
      <c r="UFI166"/>
      <c r="UFJ166"/>
      <c r="UFK166"/>
      <c r="UFL166"/>
      <c r="UFM166"/>
      <c r="UFN166"/>
      <c r="UFO166"/>
      <c r="UFP166"/>
      <c r="UFQ166"/>
      <c r="UFR166"/>
      <c r="UFS166"/>
      <c r="UFT166"/>
      <c r="UFU166"/>
      <c r="UFV166"/>
      <c r="UFW166"/>
      <c r="UFX166"/>
      <c r="UFY166"/>
      <c r="UFZ166"/>
      <c r="UGA166"/>
      <c r="UGB166"/>
      <c r="UGC166"/>
      <c r="UGD166"/>
      <c r="UGE166"/>
      <c r="UGF166"/>
      <c r="UGG166"/>
      <c r="UGH166"/>
      <c r="UGI166"/>
      <c r="UGJ166"/>
      <c r="UGK166"/>
      <c r="UGL166"/>
      <c r="UGM166"/>
      <c r="UGN166"/>
      <c r="UGO166"/>
      <c r="UGP166"/>
      <c r="UGQ166"/>
      <c r="UGR166"/>
      <c r="UGS166"/>
      <c r="UGT166"/>
      <c r="UGU166"/>
      <c r="UGV166"/>
      <c r="UGW166"/>
      <c r="UGX166"/>
      <c r="UGY166"/>
      <c r="UGZ166"/>
      <c r="UHA166"/>
      <c r="UHB166"/>
      <c r="UHC166"/>
      <c r="UHD166"/>
      <c r="UHE166"/>
      <c r="UHF166"/>
      <c r="UHG166"/>
      <c r="UHH166"/>
      <c r="UHI166"/>
      <c r="UHJ166"/>
      <c r="UHK166"/>
      <c r="UHL166"/>
      <c r="UHM166"/>
      <c r="UHN166"/>
      <c r="UHO166"/>
      <c r="UHP166"/>
      <c r="UHQ166"/>
      <c r="UHR166"/>
      <c r="UHS166"/>
      <c r="UHT166"/>
      <c r="UHU166"/>
      <c r="UHV166"/>
      <c r="UHW166"/>
      <c r="UHX166"/>
      <c r="UHY166"/>
      <c r="UHZ166"/>
      <c r="UIA166"/>
      <c r="UIB166"/>
      <c r="UIC166"/>
      <c r="UID166"/>
      <c r="UIE166"/>
      <c r="UIF166"/>
      <c r="UIG166"/>
      <c r="UIH166"/>
      <c r="UII166"/>
      <c r="UIJ166"/>
      <c r="UIK166"/>
      <c r="UIL166"/>
      <c r="UIM166"/>
      <c r="UIN166"/>
      <c r="UIO166"/>
      <c r="UIP166"/>
      <c r="UIQ166"/>
      <c r="UIR166"/>
      <c r="UIS166"/>
      <c r="UIT166"/>
      <c r="UIU166"/>
      <c r="UIV166"/>
      <c r="UIW166"/>
      <c r="UIX166"/>
      <c r="UIY166"/>
      <c r="UIZ166"/>
      <c r="UJA166"/>
      <c r="UJB166"/>
      <c r="UJC166"/>
      <c r="UJD166"/>
      <c r="UJE166"/>
      <c r="UJF166"/>
      <c r="UJG166"/>
      <c r="UJH166"/>
      <c r="UJI166"/>
      <c r="UJJ166"/>
      <c r="UJK166"/>
      <c r="UJL166"/>
      <c r="UJM166"/>
      <c r="UJN166"/>
      <c r="UJO166"/>
      <c r="UJP166"/>
      <c r="UJQ166"/>
      <c r="UJR166"/>
      <c r="UJS166"/>
      <c r="UJT166"/>
      <c r="UJU166"/>
      <c r="UJV166"/>
      <c r="UJW166"/>
      <c r="UJX166"/>
      <c r="UJY166"/>
      <c r="UJZ166"/>
      <c r="UKA166"/>
      <c r="UKB166"/>
      <c r="UKC166"/>
      <c r="UKD166"/>
      <c r="UKE166"/>
      <c r="UKF166"/>
      <c r="UKG166"/>
      <c r="UKH166"/>
      <c r="UKI166"/>
      <c r="UKJ166"/>
      <c r="UKK166"/>
      <c r="UKL166"/>
      <c r="UKM166"/>
      <c r="UKN166"/>
      <c r="UKO166"/>
      <c r="UKP166"/>
      <c r="UKQ166"/>
      <c r="UKR166"/>
      <c r="UKS166"/>
      <c r="UKT166"/>
      <c r="UKU166"/>
      <c r="UKV166"/>
      <c r="UKW166"/>
      <c r="UKX166"/>
      <c r="UKY166"/>
      <c r="UKZ166"/>
      <c r="ULA166"/>
      <c r="ULB166"/>
      <c r="ULC166"/>
      <c r="ULD166"/>
      <c r="ULE166"/>
      <c r="ULF166"/>
      <c r="ULG166"/>
      <c r="ULH166"/>
      <c r="ULI166"/>
      <c r="ULJ166"/>
      <c r="ULK166"/>
      <c r="ULL166"/>
      <c r="ULM166"/>
      <c r="ULN166"/>
      <c r="ULO166"/>
      <c r="ULP166"/>
      <c r="ULQ166"/>
      <c r="ULR166"/>
      <c r="ULS166"/>
      <c r="ULT166"/>
      <c r="ULU166"/>
      <c r="ULV166"/>
      <c r="ULW166"/>
      <c r="ULX166"/>
      <c r="ULY166"/>
      <c r="ULZ166"/>
      <c r="UMA166"/>
      <c r="UMB166"/>
      <c r="UMC166"/>
      <c r="UMD166"/>
      <c r="UME166"/>
      <c r="UMF166"/>
      <c r="UMG166"/>
      <c r="UMH166"/>
      <c r="UMI166"/>
      <c r="UMJ166"/>
      <c r="UMK166"/>
      <c r="UML166"/>
      <c r="UMM166"/>
      <c r="UMN166"/>
      <c r="UMO166"/>
      <c r="UMP166"/>
      <c r="UMQ166"/>
      <c r="UMR166"/>
      <c r="UMS166"/>
      <c r="UMT166"/>
      <c r="UMU166"/>
      <c r="UMV166"/>
      <c r="UMW166"/>
      <c r="UMX166"/>
      <c r="UMY166"/>
      <c r="UMZ166"/>
      <c r="UNA166"/>
      <c r="UNB166"/>
      <c r="UNC166"/>
      <c r="UND166"/>
      <c r="UNE166"/>
      <c r="UNF166"/>
      <c r="UNG166"/>
      <c r="UNH166"/>
      <c r="UNI166"/>
      <c r="UNJ166"/>
      <c r="UNK166"/>
      <c r="UNL166"/>
      <c r="UNM166"/>
      <c r="UNN166"/>
      <c r="UNO166"/>
      <c r="UNP166"/>
      <c r="UNQ166"/>
      <c r="UNR166"/>
      <c r="UNS166"/>
      <c r="UNT166"/>
      <c r="UNU166"/>
      <c r="UNV166"/>
      <c r="UNW166"/>
      <c r="UNX166"/>
      <c r="UNY166"/>
      <c r="UNZ166"/>
      <c r="UOA166"/>
      <c r="UOB166"/>
      <c r="UOC166"/>
      <c r="UOD166"/>
      <c r="UOE166"/>
      <c r="UOF166"/>
      <c r="UOG166"/>
      <c r="UOH166"/>
      <c r="UOI166"/>
      <c r="UOJ166"/>
      <c r="UOK166"/>
      <c r="UOL166"/>
      <c r="UOM166"/>
      <c r="UON166"/>
      <c r="UOO166"/>
      <c r="UOP166"/>
      <c r="UOQ166"/>
      <c r="UOR166"/>
      <c r="UOS166"/>
      <c r="UOT166"/>
      <c r="UOU166"/>
      <c r="UOV166"/>
      <c r="UOW166"/>
      <c r="UOX166"/>
      <c r="UOY166"/>
      <c r="UOZ166"/>
      <c r="UPA166"/>
      <c r="UPB166"/>
      <c r="UPC166"/>
      <c r="UPD166"/>
      <c r="UPE166"/>
      <c r="UPF166"/>
      <c r="UPG166"/>
      <c r="UPH166"/>
      <c r="UPI166"/>
      <c r="UPJ166"/>
      <c r="UPK166"/>
      <c r="UPL166"/>
      <c r="UPM166"/>
      <c r="UPN166"/>
      <c r="UPO166"/>
      <c r="UPP166"/>
      <c r="UPQ166"/>
      <c r="UPR166"/>
      <c r="UPS166"/>
      <c r="UPT166"/>
      <c r="UPU166"/>
      <c r="UPV166"/>
      <c r="UPW166"/>
      <c r="UPX166"/>
      <c r="UPY166"/>
      <c r="UPZ166"/>
      <c r="UQA166"/>
      <c r="UQB166"/>
      <c r="UQC166"/>
      <c r="UQD166"/>
      <c r="UQE166"/>
      <c r="UQF166"/>
      <c r="UQG166"/>
      <c r="UQH166"/>
      <c r="UQI166"/>
      <c r="UQJ166"/>
      <c r="UQK166"/>
      <c r="UQL166"/>
      <c r="UQM166"/>
      <c r="UQN166"/>
      <c r="UQO166"/>
      <c r="UQP166"/>
      <c r="UQQ166"/>
      <c r="UQR166"/>
      <c r="UQS166"/>
      <c r="UQT166"/>
      <c r="UQU166"/>
      <c r="UQV166"/>
      <c r="UQW166"/>
      <c r="UQX166"/>
      <c r="UQY166"/>
      <c r="UQZ166"/>
      <c r="URA166"/>
      <c r="URB166"/>
      <c r="URC166"/>
      <c r="URD166"/>
      <c r="URE166"/>
      <c r="URF166"/>
      <c r="URG166"/>
      <c r="URH166"/>
      <c r="URI166"/>
      <c r="URJ166"/>
      <c r="URK166"/>
      <c r="URL166"/>
      <c r="URM166"/>
      <c r="URN166"/>
      <c r="URO166"/>
      <c r="URP166"/>
      <c r="URQ166"/>
      <c r="URR166"/>
      <c r="URS166"/>
      <c r="URT166"/>
      <c r="URU166"/>
      <c r="URV166"/>
      <c r="URW166"/>
      <c r="URX166"/>
      <c r="URY166"/>
      <c r="URZ166"/>
      <c r="USA166"/>
      <c r="USB166"/>
      <c r="USC166"/>
      <c r="USD166"/>
      <c r="USE166"/>
      <c r="USF166"/>
      <c r="USG166"/>
      <c r="USH166"/>
      <c r="USI166"/>
      <c r="USJ166"/>
      <c r="USK166"/>
      <c r="USL166"/>
      <c r="USM166"/>
      <c r="USN166"/>
      <c r="USO166"/>
      <c r="USP166"/>
      <c r="USQ166"/>
      <c r="USR166"/>
      <c r="USS166"/>
      <c r="UST166"/>
      <c r="USU166"/>
      <c r="USV166"/>
      <c r="USW166"/>
      <c r="USX166"/>
      <c r="USY166"/>
      <c r="USZ166"/>
      <c r="UTA166"/>
      <c r="UTB166"/>
      <c r="UTC166"/>
      <c r="UTD166"/>
      <c r="UTE166"/>
      <c r="UTF166"/>
      <c r="UTG166"/>
      <c r="UTH166"/>
      <c r="UTI166"/>
      <c r="UTJ166"/>
      <c r="UTK166"/>
      <c r="UTL166"/>
      <c r="UTM166"/>
      <c r="UTN166"/>
      <c r="UTO166"/>
      <c r="UTP166"/>
      <c r="UTQ166"/>
      <c r="UTR166"/>
      <c r="UTS166"/>
      <c r="UTT166"/>
      <c r="UTU166"/>
      <c r="UTV166"/>
      <c r="UTW166"/>
      <c r="UTX166"/>
      <c r="UTY166"/>
      <c r="UTZ166"/>
      <c r="UUA166"/>
      <c r="UUB166"/>
      <c r="UUC166"/>
      <c r="UUD166"/>
      <c r="UUE166"/>
      <c r="UUF166"/>
      <c r="UUG166"/>
      <c r="UUH166"/>
      <c r="UUI166"/>
      <c r="UUJ166"/>
      <c r="UUK166"/>
      <c r="UUL166"/>
      <c r="UUM166"/>
      <c r="UUN166"/>
      <c r="UUO166"/>
      <c r="UUP166"/>
      <c r="UUQ166"/>
      <c r="UUR166"/>
      <c r="UUS166"/>
      <c r="UUT166"/>
      <c r="UUU166"/>
      <c r="UUV166"/>
      <c r="UUW166"/>
      <c r="UUX166"/>
      <c r="UUY166"/>
      <c r="UUZ166"/>
      <c r="UVA166"/>
      <c r="UVB166"/>
      <c r="UVC166"/>
      <c r="UVD166"/>
      <c r="UVE166"/>
      <c r="UVF166"/>
      <c r="UVG166"/>
      <c r="UVH166"/>
      <c r="UVI166"/>
      <c r="UVJ166"/>
      <c r="UVK166"/>
      <c r="UVL166"/>
      <c r="UVM166"/>
      <c r="UVN166"/>
      <c r="UVO166"/>
      <c r="UVP166"/>
      <c r="UVQ166"/>
      <c r="UVR166"/>
      <c r="UVS166"/>
      <c r="UVT166"/>
      <c r="UVU166"/>
      <c r="UVV166"/>
      <c r="UVW166"/>
      <c r="UVX166"/>
      <c r="UVY166"/>
      <c r="UVZ166"/>
      <c r="UWA166"/>
      <c r="UWB166"/>
      <c r="UWC166"/>
      <c r="UWD166"/>
      <c r="UWE166"/>
      <c r="UWF166"/>
      <c r="UWG166"/>
      <c r="UWH166"/>
      <c r="UWI166"/>
      <c r="UWJ166"/>
      <c r="UWK166"/>
      <c r="UWL166"/>
      <c r="UWM166"/>
      <c r="UWN166"/>
      <c r="UWO166"/>
      <c r="UWP166"/>
      <c r="UWQ166"/>
      <c r="UWR166"/>
      <c r="UWS166"/>
      <c r="UWT166"/>
      <c r="UWU166"/>
      <c r="UWV166"/>
      <c r="UWW166"/>
      <c r="UWX166"/>
      <c r="UWY166"/>
      <c r="UWZ166"/>
      <c r="UXA166"/>
      <c r="UXB166"/>
      <c r="UXC166"/>
      <c r="UXD166"/>
      <c r="UXE166"/>
      <c r="UXF166"/>
      <c r="UXG166"/>
      <c r="UXH166"/>
      <c r="UXI166"/>
      <c r="UXJ166"/>
      <c r="UXK166"/>
      <c r="UXL166"/>
      <c r="UXM166"/>
      <c r="UXN166"/>
      <c r="UXO166"/>
      <c r="UXP166"/>
      <c r="UXQ166"/>
      <c r="UXR166"/>
      <c r="UXS166"/>
      <c r="UXT166"/>
      <c r="UXU166"/>
      <c r="UXV166"/>
      <c r="UXW166"/>
      <c r="UXX166"/>
      <c r="UXY166"/>
      <c r="UXZ166"/>
      <c r="UYA166"/>
      <c r="UYB166"/>
      <c r="UYC166"/>
      <c r="UYD166"/>
      <c r="UYE166"/>
      <c r="UYF166"/>
      <c r="UYG166"/>
      <c r="UYH166"/>
      <c r="UYI166"/>
      <c r="UYJ166"/>
      <c r="UYK166"/>
      <c r="UYL166"/>
      <c r="UYM166"/>
      <c r="UYN166"/>
      <c r="UYO166"/>
      <c r="UYP166"/>
      <c r="UYQ166"/>
      <c r="UYR166"/>
      <c r="UYS166"/>
      <c r="UYT166"/>
      <c r="UYU166"/>
      <c r="UYV166"/>
      <c r="UYW166"/>
      <c r="UYX166"/>
      <c r="UYY166"/>
      <c r="UYZ166"/>
      <c r="UZA166"/>
      <c r="UZB166"/>
      <c r="UZC166"/>
      <c r="UZD166"/>
      <c r="UZE166"/>
      <c r="UZF166"/>
      <c r="UZG166"/>
      <c r="UZH166"/>
      <c r="UZI166"/>
      <c r="UZJ166"/>
      <c r="UZK166"/>
      <c r="UZL166"/>
      <c r="UZM166"/>
      <c r="UZN166"/>
      <c r="UZO166"/>
      <c r="UZP166"/>
      <c r="UZQ166"/>
      <c r="UZR166"/>
      <c r="UZS166"/>
      <c r="UZT166"/>
      <c r="UZU166"/>
      <c r="UZV166"/>
      <c r="UZW166"/>
      <c r="UZX166"/>
      <c r="UZY166"/>
      <c r="UZZ166"/>
      <c r="VAA166"/>
      <c r="VAB166"/>
      <c r="VAC166"/>
      <c r="VAD166"/>
      <c r="VAE166"/>
      <c r="VAF166"/>
      <c r="VAG166"/>
      <c r="VAH166"/>
      <c r="VAI166"/>
      <c r="VAJ166"/>
      <c r="VAK166"/>
      <c r="VAL166"/>
      <c r="VAM166"/>
      <c r="VAN166"/>
      <c r="VAO166"/>
      <c r="VAP166"/>
      <c r="VAQ166"/>
      <c r="VAR166"/>
      <c r="VAS166"/>
      <c r="VAT166"/>
      <c r="VAU166"/>
      <c r="VAV166"/>
      <c r="VAW166"/>
      <c r="VAX166"/>
      <c r="VAY166"/>
      <c r="VAZ166"/>
      <c r="VBA166"/>
      <c r="VBB166"/>
      <c r="VBC166"/>
      <c r="VBD166"/>
      <c r="VBE166"/>
      <c r="VBF166"/>
      <c r="VBG166"/>
      <c r="VBH166"/>
      <c r="VBI166"/>
      <c r="VBJ166"/>
      <c r="VBK166"/>
      <c r="VBL166"/>
      <c r="VBM166"/>
      <c r="VBN166"/>
      <c r="VBO166"/>
      <c r="VBP166"/>
      <c r="VBQ166"/>
      <c r="VBR166"/>
      <c r="VBS166"/>
      <c r="VBT166"/>
      <c r="VBU166"/>
      <c r="VBV166"/>
      <c r="VBW166"/>
      <c r="VBX166"/>
      <c r="VBY166"/>
      <c r="VBZ166"/>
      <c r="VCA166"/>
      <c r="VCB166"/>
      <c r="VCC166"/>
      <c r="VCD166"/>
      <c r="VCE166"/>
      <c r="VCF166"/>
      <c r="VCG166"/>
      <c r="VCH166"/>
      <c r="VCI166"/>
      <c r="VCJ166"/>
      <c r="VCK166"/>
      <c r="VCL166"/>
      <c r="VCM166"/>
      <c r="VCN166"/>
      <c r="VCO166"/>
      <c r="VCP166"/>
      <c r="VCQ166"/>
      <c r="VCR166"/>
      <c r="VCS166"/>
      <c r="VCT166"/>
      <c r="VCU166"/>
      <c r="VCV166"/>
      <c r="VCW166"/>
      <c r="VCX166"/>
      <c r="VCY166"/>
      <c r="VCZ166"/>
      <c r="VDA166"/>
      <c r="VDB166"/>
      <c r="VDC166"/>
      <c r="VDD166"/>
      <c r="VDE166"/>
      <c r="VDF166"/>
      <c r="VDG166"/>
      <c r="VDH166"/>
      <c r="VDI166"/>
      <c r="VDJ166"/>
      <c r="VDK166"/>
      <c r="VDL166"/>
      <c r="VDM166"/>
      <c r="VDN166"/>
      <c r="VDO166"/>
      <c r="VDP166"/>
      <c r="VDQ166"/>
      <c r="VDR166"/>
      <c r="VDS166"/>
      <c r="VDT166"/>
      <c r="VDU166"/>
      <c r="VDV166"/>
      <c r="VDW166"/>
      <c r="VDX166"/>
      <c r="VDY166"/>
      <c r="VDZ166"/>
      <c r="VEA166"/>
      <c r="VEB166"/>
      <c r="VEC166"/>
      <c r="VED166"/>
      <c r="VEE166"/>
      <c r="VEF166"/>
      <c r="VEG166"/>
      <c r="VEH166"/>
      <c r="VEI166"/>
      <c r="VEJ166"/>
      <c r="VEK166"/>
      <c r="VEL166"/>
      <c r="VEM166"/>
      <c r="VEN166"/>
      <c r="VEO166"/>
      <c r="VEP166"/>
      <c r="VEQ166"/>
      <c r="VER166"/>
      <c r="VES166"/>
      <c r="VET166"/>
      <c r="VEU166"/>
      <c r="VEV166"/>
      <c r="VEW166"/>
      <c r="VEX166"/>
      <c r="VEY166"/>
      <c r="VEZ166"/>
      <c r="VFA166"/>
      <c r="VFB166"/>
      <c r="VFC166"/>
      <c r="VFD166"/>
      <c r="VFE166"/>
      <c r="VFF166"/>
      <c r="VFG166"/>
      <c r="VFH166"/>
      <c r="VFI166"/>
      <c r="VFJ166"/>
      <c r="VFK166"/>
      <c r="VFL166"/>
      <c r="VFM166"/>
      <c r="VFN166"/>
      <c r="VFO166"/>
      <c r="VFP166"/>
      <c r="VFQ166"/>
      <c r="VFR166"/>
      <c r="VFS166"/>
      <c r="VFT166"/>
      <c r="VFU166"/>
      <c r="VFV166"/>
      <c r="VFW166"/>
      <c r="VFX166"/>
      <c r="VFY166"/>
      <c r="VFZ166"/>
      <c r="VGA166"/>
      <c r="VGB166"/>
      <c r="VGC166"/>
      <c r="VGD166"/>
      <c r="VGE166"/>
      <c r="VGF166"/>
      <c r="VGG166"/>
      <c r="VGH166"/>
      <c r="VGI166"/>
      <c r="VGJ166"/>
      <c r="VGK166"/>
      <c r="VGL166"/>
      <c r="VGM166"/>
      <c r="VGN166"/>
      <c r="VGO166"/>
      <c r="VGP166"/>
      <c r="VGQ166"/>
      <c r="VGR166"/>
      <c r="VGS166"/>
      <c r="VGT166"/>
      <c r="VGU166"/>
      <c r="VGV166"/>
      <c r="VGW166"/>
      <c r="VGX166"/>
      <c r="VGY166"/>
      <c r="VGZ166"/>
      <c r="VHA166"/>
      <c r="VHB166"/>
      <c r="VHC166"/>
      <c r="VHD166"/>
      <c r="VHE166"/>
      <c r="VHF166"/>
      <c r="VHG166"/>
      <c r="VHH166"/>
      <c r="VHI166"/>
      <c r="VHJ166"/>
      <c r="VHK166"/>
      <c r="VHL166"/>
      <c r="VHM166"/>
      <c r="VHN166"/>
      <c r="VHO166"/>
      <c r="VHP166"/>
      <c r="VHQ166"/>
      <c r="VHR166"/>
      <c r="VHS166"/>
      <c r="VHT166"/>
      <c r="VHU166"/>
      <c r="VHV166"/>
      <c r="VHW166"/>
      <c r="VHX166"/>
      <c r="VHY166"/>
      <c r="VHZ166"/>
      <c r="VIA166"/>
      <c r="VIB166"/>
      <c r="VIC166"/>
      <c r="VID166"/>
      <c r="VIE166"/>
      <c r="VIF166"/>
      <c r="VIG166"/>
      <c r="VIH166"/>
      <c r="VII166"/>
      <c r="VIJ166"/>
      <c r="VIK166"/>
      <c r="VIL166"/>
      <c r="VIM166"/>
      <c r="VIN166"/>
      <c r="VIO166"/>
      <c r="VIP166"/>
      <c r="VIQ166"/>
      <c r="VIR166"/>
      <c r="VIS166"/>
      <c r="VIT166"/>
      <c r="VIU166"/>
      <c r="VIV166"/>
      <c r="VIW166"/>
      <c r="VIX166"/>
      <c r="VIY166"/>
      <c r="VIZ166"/>
      <c r="VJA166"/>
      <c r="VJB166"/>
      <c r="VJC166"/>
      <c r="VJD166"/>
      <c r="VJE166"/>
      <c r="VJF166"/>
      <c r="VJG166"/>
      <c r="VJH166"/>
      <c r="VJI166"/>
      <c r="VJJ166"/>
      <c r="VJK166"/>
      <c r="VJL166"/>
      <c r="VJM166"/>
      <c r="VJN166"/>
      <c r="VJO166"/>
      <c r="VJP166"/>
      <c r="VJQ166"/>
      <c r="VJR166"/>
      <c r="VJS166"/>
      <c r="VJT166"/>
      <c r="VJU166"/>
      <c r="VJV166"/>
      <c r="VJW166"/>
      <c r="VJX166"/>
      <c r="VJY166"/>
      <c r="VJZ166"/>
      <c r="VKA166"/>
      <c r="VKB166"/>
      <c r="VKC166"/>
      <c r="VKD166"/>
      <c r="VKE166"/>
      <c r="VKF166"/>
      <c r="VKG166"/>
      <c r="VKH166"/>
      <c r="VKI166"/>
      <c r="VKJ166"/>
      <c r="VKK166"/>
      <c r="VKL166"/>
      <c r="VKM166"/>
      <c r="VKN166"/>
      <c r="VKO166"/>
      <c r="VKP166"/>
      <c r="VKQ166"/>
      <c r="VKR166"/>
      <c r="VKS166"/>
      <c r="VKT166"/>
      <c r="VKU166"/>
      <c r="VKV166"/>
      <c r="VKW166"/>
      <c r="VKX166"/>
      <c r="VKY166"/>
      <c r="VKZ166"/>
      <c r="VLA166"/>
      <c r="VLB166"/>
      <c r="VLC166"/>
      <c r="VLD166"/>
      <c r="VLE166"/>
      <c r="VLF166"/>
      <c r="VLG166"/>
      <c r="VLH166"/>
      <c r="VLI166"/>
      <c r="VLJ166"/>
      <c r="VLK166"/>
      <c r="VLL166"/>
      <c r="VLM166"/>
      <c r="VLN166"/>
      <c r="VLO166"/>
      <c r="VLP166"/>
      <c r="VLQ166"/>
      <c r="VLR166"/>
      <c r="VLS166"/>
      <c r="VLT166"/>
      <c r="VLU166"/>
      <c r="VLV166"/>
      <c r="VLW166"/>
      <c r="VLX166"/>
      <c r="VLY166"/>
      <c r="VLZ166"/>
      <c r="VMA166"/>
      <c r="VMB166"/>
      <c r="VMC166"/>
      <c r="VMD166"/>
      <c r="VME166"/>
      <c r="VMF166"/>
      <c r="VMG166"/>
      <c r="VMH166"/>
      <c r="VMI166"/>
      <c r="VMJ166"/>
      <c r="VMK166"/>
      <c r="VML166"/>
      <c r="VMM166"/>
      <c r="VMN166"/>
      <c r="VMO166"/>
      <c r="VMP166"/>
      <c r="VMQ166"/>
      <c r="VMR166"/>
      <c r="VMS166"/>
      <c r="VMT166"/>
      <c r="VMU166"/>
      <c r="VMV166"/>
      <c r="VMW166"/>
      <c r="VMX166"/>
      <c r="VMY166"/>
      <c r="VMZ166"/>
      <c r="VNA166"/>
      <c r="VNB166"/>
      <c r="VNC166"/>
      <c r="VND166"/>
      <c r="VNE166"/>
      <c r="VNF166"/>
      <c r="VNG166"/>
      <c r="VNH166"/>
      <c r="VNI166"/>
      <c r="VNJ166"/>
      <c r="VNK166"/>
      <c r="VNL166"/>
      <c r="VNM166"/>
      <c r="VNN166"/>
      <c r="VNO166"/>
      <c r="VNP166"/>
      <c r="VNQ166"/>
      <c r="VNR166"/>
      <c r="VNS166"/>
      <c r="VNT166"/>
      <c r="VNU166"/>
      <c r="VNV166"/>
      <c r="VNW166"/>
      <c r="VNX166"/>
      <c r="VNY166"/>
      <c r="VNZ166"/>
      <c r="VOA166"/>
      <c r="VOB166"/>
      <c r="VOC166"/>
      <c r="VOD166"/>
      <c r="VOE166"/>
      <c r="VOF166"/>
      <c r="VOG166"/>
      <c r="VOH166"/>
      <c r="VOI166"/>
      <c r="VOJ166"/>
      <c r="VOK166"/>
      <c r="VOL166"/>
      <c r="VOM166"/>
      <c r="VON166"/>
      <c r="VOO166"/>
      <c r="VOP166"/>
      <c r="VOQ166"/>
      <c r="VOR166"/>
      <c r="VOS166"/>
      <c r="VOT166"/>
      <c r="VOU166"/>
      <c r="VOV166"/>
      <c r="VOW166"/>
      <c r="VOX166"/>
      <c r="VOY166"/>
      <c r="VOZ166"/>
      <c r="VPA166"/>
      <c r="VPB166"/>
      <c r="VPC166"/>
      <c r="VPD166"/>
      <c r="VPE166"/>
      <c r="VPF166"/>
      <c r="VPG166"/>
      <c r="VPH166"/>
      <c r="VPI166"/>
      <c r="VPJ166"/>
      <c r="VPK166"/>
      <c r="VPL166"/>
      <c r="VPM166"/>
      <c r="VPN166"/>
      <c r="VPO166"/>
      <c r="VPP166"/>
      <c r="VPQ166"/>
      <c r="VPR166"/>
      <c r="VPS166"/>
      <c r="VPT166"/>
      <c r="VPU166"/>
      <c r="VPV166"/>
      <c r="VPW166"/>
      <c r="VPX166"/>
      <c r="VPY166"/>
      <c r="VPZ166"/>
      <c r="VQA166"/>
      <c r="VQB166"/>
      <c r="VQC166"/>
      <c r="VQD166"/>
      <c r="VQE166"/>
      <c r="VQF166"/>
      <c r="VQG166"/>
      <c r="VQH166"/>
      <c r="VQI166"/>
      <c r="VQJ166"/>
      <c r="VQK166"/>
      <c r="VQL166"/>
      <c r="VQM166"/>
      <c r="VQN166"/>
      <c r="VQO166"/>
      <c r="VQP166"/>
      <c r="VQQ166"/>
      <c r="VQR166"/>
      <c r="VQS166"/>
      <c r="VQT166"/>
      <c r="VQU166"/>
      <c r="VQV166"/>
      <c r="VQW166"/>
      <c r="VQX166"/>
      <c r="VQY166"/>
      <c r="VQZ166"/>
      <c r="VRA166"/>
      <c r="VRB166"/>
      <c r="VRC166"/>
      <c r="VRD166"/>
      <c r="VRE166"/>
      <c r="VRF166"/>
      <c r="VRG166"/>
      <c r="VRH166"/>
      <c r="VRI166"/>
      <c r="VRJ166"/>
      <c r="VRK166"/>
      <c r="VRL166"/>
      <c r="VRM166"/>
      <c r="VRN166"/>
      <c r="VRO166"/>
      <c r="VRP166"/>
      <c r="VRQ166"/>
      <c r="VRR166"/>
      <c r="VRS166"/>
      <c r="VRT166"/>
      <c r="VRU166"/>
      <c r="VRV166"/>
      <c r="VRW166"/>
      <c r="VRX166"/>
      <c r="VRY166"/>
      <c r="VRZ166"/>
      <c r="VSA166"/>
      <c r="VSB166"/>
      <c r="VSC166"/>
      <c r="VSD166"/>
      <c r="VSE166"/>
      <c r="VSF166"/>
      <c r="VSG166"/>
      <c r="VSH166"/>
      <c r="VSI166"/>
      <c r="VSJ166"/>
      <c r="VSK166"/>
      <c r="VSL166"/>
      <c r="VSM166"/>
      <c r="VSN166"/>
      <c r="VSO166"/>
      <c r="VSP166"/>
      <c r="VSQ166"/>
      <c r="VSR166"/>
      <c r="VSS166"/>
      <c r="VST166"/>
      <c r="VSU166"/>
      <c r="VSV166"/>
      <c r="VSW166"/>
      <c r="VSX166"/>
      <c r="VSY166"/>
      <c r="VSZ166"/>
      <c r="VTA166"/>
      <c r="VTB166"/>
      <c r="VTC166"/>
      <c r="VTD166"/>
      <c r="VTE166"/>
      <c r="VTF166"/>
      <c r="VTG166"/>
      <c r="VTH166"/>
      <c r="VTI166"/>
      <c r="VTJ166"/>
      <c r="VTK166"/>
      <c r="VTL166"/>
      <c r="VTM166"/>
      <c r="VTN166"/>
      <c r="VTO166"/>
      <c r="VTP166"/>
      <c r="VTQ166"/>
      <c r="VTR166"/>
      <c r="VTS166"/>
      <c r="VTT166"/>
      <c r="VTU166"/>
      <c r="VTV166"/>
      <c r="VTW166"/>
      <c r="VTX166"/>
      <c r="VTY166"/>
      <c r="VTZ166"/>
      <c r="VUA166"/>
      <c r="VUB166"/>
      <c r="VUC166"/>
      <c r="VUD166"/>
      <c r="VUE166"/>
      <c r="VUF166"/>
      <c r="VUG166"/>
      <c r="VUH166"/>
      <c r="VUI166"/>
      <c r="VUJ166"/>
      <c r="VUK166"/>
      <c r="VUL166"/>
      <c r="VUM166"/>
      <c r="VUN166"/>
      <c r="VUO166"/>
      <c r="VUP166"/>
      <c r="VUQ166"/>
      <c r="VUR166"/>
      <c r="VUS166"/>
      <c r="VUT166"/>
      <c r="VUU166"/>
      <c r="VUV166"/>
      <c r="VUW166"/>
      <c r="VUX166"/>
      <c r="VUY166"/>
      <c r="VUZ166"/>
      <c r="VVA166"/>
      <c r="VVB166"/>
      <c r="VVC166"/>
      <c r="VVD166"/>
      <c r="VVE166"/>
      <c r="VVF166"/>
      <c r="VVG166"/>
      <c r="VVH166"/>
      <c r="VVI166"/>
      <c r="VVJ166"/>
      <c r="VVK166"/>
      <c r="VVL166"/>
      <c r="VVM166"/>
      <c r="VVN166"/>
      <c r="VVO166"/>
      <c r="VVP166"/>
      <c r="VVQ166"/>
      <c r="VVR166"/>
      <c r="VVS166"/>
      <c r="VVT166"/>
      <c r="VVU166"/>
      <c r="VVV166"/>
      <c r="VVW166"/>
      <c r="VVX166"/>
      <c r="VVY166"/>
      <c r="VVZ166"/>
      <c r="VWA166"/>
      <c r="VWB166"/>
      <c r="VWC166"/>
      <c r="VWD166"/>
      <c r="VWE166"/>
      <c r="VWF166"/>
      <c r="VWG166"/>
      <c r="VWH166"/>
      <c r="VWI166"/>
      <c r="VWJ166"/>
      <c r="VWK166"/>
      <c r="VWL166"/>
      <c r="VWM166"/>
      <c r="VWN166"/>
      <c r="VWO166"/>
      <c r="VWP166"/>
      <c r="VWQ166"/>
      <c r="VWR166"/>
      <c r="VWS166"/>
      <c r="VWT166"/>
      <c r="VWU166"/>
      <c r="VWV166"/>
      <c r="VWW166"/>
      <c r="VWX166"/>
      <c r="VWY166"/>
      <c r="VWZ166"/>
      <c r="VXA166"/>
      <c r="VXB166"/>
      <c r="VXC166"/>
      <c r="VXD166"/>
      <c r="VXE166"/>
      <c r="VXF166"/>
      <c r="VXG166"/>
      <c r="VXH166"/>
      <c r="VXI166"/>
      <c r="VXJ166"/>
      <c r="VXK166"/>
      <c r="VXL166"/>
      <c r="VXM166"/>
      <c r="VXN166"/>
      <c r="VXO166"/>
      <c r="VXP166"/>
      <c r="VXQ166"/>
      <c r="VXR166"/>
      <c r="VXS166"/>
      <c r="VXT166"/>
      <c r="VXU166"/>
      <c r="VXV166"/>
      <c r="VXW166"/>
      <c r="VXX166"/>
      <c r="VXY166"/>
      <c r="VXZ166"/>
      <c r="VYA166"/>
      <c r="VYB166"/>
      <c r="VYC166"/>
      <c r="VYD166"/>
      <c r="VYE166"/>
      <c r="VYF166"/>
      <c r="VYG166"/>
      <c r="VYH166"/>
      <c r="VYI166"/>
      <c r="VYJ166"/>
      <c r="VYK166"/>
      <c r="VYL166"/>
      <c r="VYM166"/>
      <c r="VYN166"/>
      <c r="VYO166"/>
      <c r="VYP166"/>
      <c r="VYQ166"/>
      <c r="VYR166"/>
      <c r="VYS166"/>
      <c r="VYT166"/>
      <c r="VYU166"/>
      <c r="VYV166"/>
      <c r="VYW166"/>
      <c r="VYX166"/>
      <c r="VYY166"/>
      <c r="VYZ166"/>
      <c r="VZA166"/>
      <c r="VZB166"/>
      <c r="VZC166"/>
      <c r="VZD166"/>
      <c r="VZE166"/>
      <c r="VZF166"/>
      <c r="VZG166"/>
      <c r="VZH166"/>
      <c r="VZI166"/>
      <c r="VZJ166"/>
      <c r="VZK166"/>
      <c r="VZL166"/>
      <c r="VZM166"/>
      <c r="VZN166"/>
      <c r="VZO166"/>
      <c r="VZP166"/>
      <c r="VZQ166"/>
      <c r="VZR166"/>
      <c r="VZS166"/>
      <c r="VZT166"/>
      <c r="VZU166"/>
      <c r="VZV166"/>
      <c r="VZW166"/>
      <c r="VZX166"/>
      <c r="VZY166"/>
      <c r="VZZ166"/>
      <c r="WAA166"/>
      <c r="WAB166"/>
      <c r="WAC166"/>
      <c r="WAD166"/>
      <c r="WAE166"/>
      <c r="WAF166"/>
      <c r="WAG166"/>
      <c r="WAH166"/>
      <c r="WAI166"/>
      <c r="WAJ166"/>
      <c r="WAK166"/>
      <c r="WAL166"/>
      <c r="WAM166"/>
      <c r="WAN166"/>
      <c r="WAO166"/>
      <c r="WAP166"/>
      <c r="WAQ166"/>
      <c r="WAR166"/>
      <c r="WAS166"/>
      <c r="WAT166"/>
      <c r="WAU166"/>
      <c r="WAV166"/>
      <c r="WAW166"/>
      <c r="WAX166"/>
      <c r="WAY166"/>
      <c r="WAZ166"/>
      <c r="WBA166"/>
      <c r="WBB166"/>
      <c r="WBC166"/>
      <c r="WBD166"/>
      <c r="WBE166"/>
      <c r="WBF166"/>
      <c r="WBG166"/>
      <c r="WBH166"/>
      <c r="WBI166"/>
      <c r="WBJ166"/>
      <c r="WBK166"/>
      <c r="WBL166"/>
      <c r="WBM166"/>
      <c r="WBN166"/>
      <c r="WBO166"/>
      <c r="WBP166"/>
      <c r="WBQ166"/>
      <c r="WBR166"/>
      <c r="WBS166"/>
      <c r="WBT166"/>
      <c r="WBU166"/>
      <c r="WBV166"/>
      <c r="WBW166"/>
      <c r="WBX166"/>
      <c r="WBY166"/>
      <c r="WBZ166"/>
      <c r="WCA166"/>
      <c r="WCB166"/>
      <c r="WCC166"/>
      <c r="WCD166"/>
      <c r="WCE166"/>
      <c r="WCF166"/>
      <c r="WCG166"/>
      <c r="WCH166"/>
      <c r="WCI166"/>
      <c r="WCJ166"/>
      <c r="WCK166"/>
      <c r="WCL166"/>
      <c r="WCM166"/>
      <c r="WCN166"/>
      <c r="WCO166"/>
      <c r="WCP166"/>
      <c r="WCQ166"/>
      <c r="WCR166"/>
      <c r="WCS166"/>
      <c r="WCT166"/>
      <c r="WCU166"/>
      <c r="WCV166"/>
      <c r="WCW166"/>
      <c r="WCX166"/>
      <c r="WCY166"/>
      <c r="WCZ166"/>
      <c r="WDA166"/>
      <c r="WDB166"/>
      <c r="WDC166"/>
      <c r="WDD166"/>
      <c r="WDE166"/>
      <c r="WDF166"/>
      <c r="WDG166"/>
      <c r="WDH166"/>
      <c r="WDI166"/>
      <c r="WDJ166"/>
      <c r="WDK166"/>
      <c r="WDL166"/>
      <c r="WDM166"/>
      <c r="WDN166"/>
      <c r="WDO166"/>
      <c r="WDP166"/>
      <c r="WDQ166"/>
      <c r="WDR166"/>
      <c r="WDS166"/>
      <c r="WDT166"/>
      <c r="WDU166"/>
      <c r="WDV166"/>
      <c r="WDW166"/>
      <c r="WDX166"/>
      <c r="WDY166"/>
      <c r="WDZ166"/>
      <c r="WEA166"/>
      <c r="WEB166"/>
      <c r="WEC166"/>
      <c r="WED166"/>
      <c r="WEE166"/>
      <c r="WEF166"/>
      <c r="WEG166"/>
      <c r="WEH166"/>
      <c r="WEI166"/>
      <c r="WEJ166"/>
      <c r="WEK166"/>
      <c r="WEL166"/>
      <c r="WEM166"/>
      <c r="WEN166"/>
      <c r="WEO166"/>
      <c r="WEP166"/>
      <c r="WEQ166"/>
      <c r="WER166"/>
      <c r="WES166"/>
      <c r="WET166"/>
      <c r="WEU166"/>
      <c r="WEV166"/>
      <c r="WEW166"/>
      <c r="WEX166"/>
      <c r="WEY166"/>
      <c r="WEZ166"/>
      <c r="WFA166"/>
      <c r="WFB166"/>
      <c r="WFC166"/>
      <c r="WFD166"/>
      <c r="WFE166"/>
      <c r="WFF166"/>
      <c r="WFG166"/>
      <c r="WFH166"/>
      <c r="WFI166"/>
      <c r="WFJ166"/>
      <c r="WFK166"/>
      <c r="WFL166"/>
      <c r="WFM166"/>
      <c r="WFN166"/>
      <c r="WFO166"/>
      <c r="WFP166"/>
      <c r="WFQ166"/>
      <c r="WFR166"/>
      <c r="WFS166"/>
      <c r="WFT166"/>
      <c r="WFU166"/>
      <c r="WFV166"/>
      <c r="WFW166"/>
      <c r="WFX166"/>
      <c r="WFY166"/>
      <c r="WFZ166"/>
      <c r="WGA166"/>
      <c r="WGB166"/>
      <c r="WGC166"/>
      <c r="WGD166"/>
      <c r="WGE166"/>
      <c r="WGF166"/>
      <c r="WGG166"/>
      <c r="WGH166"/>
      <c r="WGI166"/>
      <c r="WGJ166"/>
      <c r="WGK166"/>
      <c r="WGL166"/>
      <c r="WGM166"/>
      <c r="WGN166"/>
      <c r="WGO166"/>
      <c r="WGP166"/>
      <c r="WGQ166"/>
      <c r="WGR166"/>
      <c r="WGS166"/>
      <c r="WGT166"/>
      <c r="WGU166"/>
      <c r="WGV166"/>
      <c r="WGW166"/>
      <c r="WGX166"/>
      <c r="WGY166"/>
      <c r="WGZ166"/>
      <c r="WHA166"/>
      <c r="WHB166"/>
      <c r="WHC166"/>
      <c r="WHD166"/>
      <c r="WHE166"/>
      <c r="WHF166"/>
      <c r="WHG166"/>
      <c r="WHH166"/>
      <c r="WHI166"/>
      <c r="WHJ166"/>
      <c r="WHK166"/>
      <c r="WHL166"/>
      <c r="WHM166"/>
      <c r="WHN166"/>
      <c r="WHO166"/>
      <c r="WHP166"/>
      <c r="WHQ166"/>
      <c r="WHR166"/>
      <c r="WHS166"/>
      <c r="WHT166"/>
      <c r="WHU166"/>
      <c r="WHV166"/>
      <c r="WHW166"/>
      <c r="WHX166"/>
      <c r="WHY166"/>
      <c r="WHZ166"/>
      <c r="WIA166"/>
      <c r="WIB166"/>
      <c r="WIC166"/>
      <c r="WID166"/>
      <c r="WIE166"/>
      <c r="WIF166"/>
      <c r="WIG166"/>
      <c r="WIH166"/>
      <c r="WII166"/>
      <c r="WIJ166"/>
      <c r="WIK166"/>
      <c r="WIL166"/>
      <c r="WIM166"/>
      <c r="WIN166"/>
      <c r="WIO166"/>
      <c r="WIP166"/>
      <c r="WIQ166"/>
      <c r="WIR166"/>
      <c r="WIS166"/>
      <c r="WIT166"/>
      <c r="WIU166"/>
      <c r="WIV166"/>
      <c r="WIW166"/>
      <c r="WIX166"/>
      <c r="WIY166"/>
      <c r="WIZ166"/>
      <c r="WJA166"/>
      <c r="WJB166"/>
      <c r="WJC166"/>
      <c r="WJD166"/>
      <c r="WJE166"/>
      <c r="WJF166"/>
      <c r="WJG166"/>
      <c r="WJH166"/>
      <c r="WJI166"/>
      <c r="WJJ166"/>
      <c r="WJK166"/>
      <c r="WJL166"/>
      <c r="WJM166"/>
      <c r="WJN166"/>
      <c r="WJO166"/>
      <c r="WJP166"/>
      <c r="WJQ166"/>
      <c r="WJR166"/>
      <c r="WJS166"/>
      <c r="WJT166"/>
      <c r="WJU166"/>
      <c r="WJV166"/>
      <c r="WJW166"/>
      <c r="WJX166"/>
      <c r="WJY166"/>
      <c r="WJZ166"/>
      <c r="WKA166"/>
      <c r="WKB166"/>
      <c r="WKC166"/>
      <c r="WKD166"/>
      <c r="WKE166"/>
      <c r="WKF166"/>
      <c r="WKG166"/>
      <c r="WKH166"/>
      <c r="WKI166"/>
      <c r="WKJ166"/>
      <c r="WKK166"/>
      <c r="WKL166"/>
      <c r="WKM166"/>
      <c r="WKN166"/>
      <c r="WKO166"/>
      <c r="WKP166"/>
      <c r="WKQ166"/>
      <c r="WKR166"/>
      <c r="WKS166"/>
      <c r="WKT166"/>
      <c r="WKU166"/>
      <c r="WKV166"/>
      <c r="WKW166"/>
      <c r="WKX166"/>
      <c r="WKY166"/>
      <c r="WKZ166"/>
      <c r="WLA166"/>
      <c r="WLB166"/>
      <c r="WLC166"/>
      <c r="WLD166"/>
      <c r="WLE166"/>
      <c r="WLF166"/>
      <c r="WLG166"/>
      <c r="WLH166"/>
      <c r="WLI166"/>
      <c r="WLJ166"/>
      <c r="WLK166"/>
      <c r="WLL166"/>
      <c r="WLM166"/>
      <c r="WLN166"/>
      <c r="WLO166"/>
      <c r="WLP166"/>
      <c r="WLQ166"/>
      <c r="WLR166"/>
      <c r="WLS166"/>
      <c r="WLT166"/>
      <c r="WLU166"/>
      <c r="WLV166"/>
      <c r="WLW166"/>
      <c r="WLX166"/>
      <c r="WLY166"/>
      <c r="WLZ166"/>
      <c r="WMA166"/>
      <c r="WMB166"/>
      <c r="WMC166"/>
      <c r="WMD166"/>
      <c r="WME166"/>
      <c r="WMF166"/>
      <c r="WMG166"/>
      <c r="WMH166"/>
      <c r="WMI166"/>
      <c r="WMJ166"/>
      <c r="WMK166"/>
      <c r="WML166"/>
      <c r="WMM166"/>
      <c r="WMN166"/>
      <c r="WMO166"/>
      <c r="WMP166"/>
      <c r="WMQ166"/>
      <c r="WMR166"/>
      <c r="WMS166"/>
      <c r="WMT166"/>
      <c r="WMU166"/>
      <c r="WMV166"/>
      <c r="WMW166"/>
      <c r="WMX166"/>
      <c r="WMY166"/>
      <c r="WMZ166"/>
      <c r="WNA166"/>
      <c r="WNB166"/>
      <c r="WNC166"/>
      <c r="WND166"/>
      <c r="WNE166"/>
      <c r="WNF166"/>
      <c r="WNG166"/>
      <c r="WNH166"/>
      <c r="WNI166"/>
      <c r="WNJ166"/>
      <c r="WNK166"/>
      <c r="WNL166"/>
      <c r="WNM166"/>
      <c r="WNN166"/>
      <c r="WNO166"/>
      <c r="WNP166"/>
      <c r="WNQ166"/>
      <c r="WNR166"/>
      <c r="WNS166"/>
      <c r="WNT166"/>
      <c r="WNU166"/>
      <c r="WNV166"/>
      <c r="WNW166"/>
      <c r="WNX166"/>
      <c r="WNY166"/>
      <c r="WNZ166"/>
      <c r="WOA166"/>
      <c r="WOB166"/>
      <c r="WOC166"/>
      <c r="WOD166"/>
      <c r="WOE166"/>
      <c r="WOF166"/>
      <c r="WOG166"/>
      <c r="WOH166"/>
      <c r="WOI166"/>
      <c r="WOJ166"/>
      <c r="WOK166"/>
      <c r="WOL166"/>
      <c r="WOM166"/>
      <c r="WON166"/>
      <c r="WOO166"/>
      <c r="WOP166"/>
      <c r="WOQ166"/>
      <c r="WOR166"/>
      <c r="WOS166"/>
      <c r="WOT166"/>
      <c r="WOU166"/>
      <c r="WOV166"/>
      <c r="WOW166"/>
      <c r="WOX166"/>
      <c r="WOY166"/>
      <c r="WOZ166"/>
      <c r="WPA166"/>
      <c r="WPB166"/>
      <c r="WPC166"/>
      <c r="WPD166"/>
      <c r="WPE166"/>
      <c r="WPF166"/>
      <c r="WPG166"/>
      <c r="WPH166"/>
      <c r="WPI166"/>
      <c r="WPJ166"/>
      <c r="WPK166"/>
      <c r="WPL166"/>
      <c r="WPM166"/>
      <c r="WPN166"/>
      <c r="WPO166"/>
      <c r="WPP166"/>
      <c r="WPQ166"/>
      <c r="WPR166"/>
      <c r="WPS166"/>
      <c r="WPT166"/>
      <c r="WPU166"/>
      <c r="WPV166"/>
      <c r="WPW166"/>
      <c r="WPX166"/>
      <c r="WPY166"/>
      <c r="WPZ166"/>
      <c r="WQA166"/>
      <c r="WQB166"/>
      <c r="WQC166"/>
      <c r="WQD166"/>
      <c r="WQE166"/>
      <c r="WQF166"/>
      <c r="WQG166"/>
      <c r="WQH166"/>
      <c r="WQI166"/>
      <c r="WQJ166"/>
      <c r="WQK166"/>
      <c r="WQL166"/>
      <c r="WQM166"/>
      <c r="WQN166"/>
      <c r="WQO166"/>
      <c r="WQP166"/>
      <c r="WQQ166"/>
      <c r="WQR166"/>
      <c r="WQS166"/>
      <c r="WQT166"/>
      <c r="WQU166"/>
      <c r="WQV166"/>
      <c r="WQW166"/>
      <c r="WQX166"/>
      <c r="WQY166"/>
      <c r="WQZ166"/>
      <c r="WRA166"/>
      <c r="WRB166"/>
      <c r="WRC166"/>
      <c r="WRD166"/>
      <c r="WRE166"/>
      <c r="WRF166"/>
      <c r="WRG166"/>
      <c r="WRH166"/>
      <c r="WRI166"/>
      <c r="WRJ166"/>
      <c r="WRK166"/>
      <c r="WRL166"/>
      <c r="WRM166"/>
      <c r="WRN166"/>
      <c r="WRO166"/>
      <c r="WRP166"/>
      <c r="WRQ166"/>
      <c r="WRR166"/>
      <c r="WRS166"/>
      <c r="WRT166"/>
      <c r="WRU166"/>
      <c r="WRV166"/>
      <c r="WRW166"/>
      <c r="WRX166"/>
      <c r="WRY166"/>
      <c r="WRZ166"/>
      <c r="WSA166"/>
      <c r="WSB166"/>
      <c r="WSC166"/>
      <c r="WSD166"/>
      <c r="WSE166"/>
      <c r="WSF166"/>
      <c r="WSG166"/>
      <c r="WSH166"/>
      <c r="WSI166"/>
      <c r="WSJ166"/>
      <c r="WSK166"/>
      <c r="WSL166"/>
      <c r="WSM166"/>
      <c r="WSN166"/>
      <c r="WSO166"/>
      <c r="WSP166"/>
      <c r="WSQ166"/>
      <c r="WSR166"/>
      <c r="WSS166"/>
      <c r="WST166"/>
      <c r="WSU166"/>
      <c r="WSV166"/>
      <c r="WSW166"/>
      <c r="WSX166"/>
      <c r="WSY166"/>
      <c r="WSZ166"/>
      <c r="WTA166"/>
      <c r="WTB166"/>
      <c r="WTC166"/>
      <c r="WTD166"/>
      <c r="WTE166"/>
      <c r="WTF166"/>
      <c r="WTG166"/>
      <c r="WTH166"/>
      <c r="WTI166"/>
      <c r="WTJ166"/>
      <c r="WTK166"/>
      <c r="WTL166"/>
      <c r="WTM166"/>
      <c r="WTN166"/>
      <c r="WTO166"/>
      <c r="WTP166"/>
      <c r="WTQ166"/>
      <c r="WTR166"/>
      <c r="WTS166"/>
      <c r="WTT166"/>
      <c r="WTU166"/>
      <c r="WTV166"/>
      <c r="WTW166"/>
      <c r="WTX166"/>
      <c r="WTY166"/>
      <c r="WTZ166"/>
      <c r="WUA166"/>
      <c r="WUB166"/>
      <c r="WUC166"/>
      <c r="WUD166"/>
      <c r="WUE166"/>
      <c r="WUF166"/>
      <c r="WUG166"/>
      <c r="WUH166"/>
      <c r="WUI166"/>
      <c r="WUJ166"/>
      <c r="WUK166"/>
      <c r="WUL166"/>
      <c r="WUM166"/>
      <c r="WUN166"/>
      <c r="WUO166"/>
      <c r="WUP166"/>
      <c r="WUQ166"/>
      <c r="WUR166"/>
      <c r="WUS166"/>
      <c r="WUT166"/>
      <c r="WUU166"/>
      <c r="WUV166"/>
      <c r="WUW166"/>
      <c r="WUX166"/>
      <c r="WUY166"/>
      <c r="WUZ166"/>
      <c r="WVA166"/>
      <c r="WVB166"/>
      <c r="WVC166"/>
      <c r="WVD166"/>
      <c r="WVE166"/>
      <c r="WVF166"/>
      <c r="WVG166"/>
      <c r="WVH166"/>
      <c r="WVI166"/>
      <c r="WVJ166"/>
      <c r="WVK166"/>
      <c r="WVL166"/>
      <c r="WVM166"/>
      <c r="WVN166"/>
      <c r="WVO166"/>
      <c r="WVP166"/>
      <c r="WVQ166"/>
      <c r="WVR166"/>
      <c r="WVS166"/>
      <c r="WVT166"/>
      <c r="WVU166"/>
      <c r="WVV166"/>
      <c r="WVW166"/>
      <c r="WVX166"/>
      <c r="WVY166"/>
      <c r="WVZ166"/>
      <c r="WWA166"/>
      <c r="WWB166"/>
      <c r="WWC166"/>
      <c r="WWD166"/>
      <c r="WWE166"/>
      <c r="WWF166"/>
      <c r="WWG166"/>
      <c r="WWH166"/>
      <c r="WWI166"/>
      <c r="WWJ166"/>
      <c r="WWK166"/>
      <c r="WWL166"/>
      <c r="WWM166"/>
      <c r="WWN166"/>
      <c r="WWO166"/>
      <c r="WWP166"/>
      <c r="WWQ166"/>
      <c r="WWR166"/>
      <c r="WWS166"/>
      <c r="WWT166"/>
      <c r="WWU166"/>
      <c r="WWV166"/>
      <c r="WWW166"/>
      <c r="WWX166"/>
      <c r="WWY166"/>
      <c r="WWZ166"/>
      <c r="WXA166"/>
      <c r="WXB166"/>
      <c r="WXC166"/>
      <c r="WXD166"/>
      <c r="WXE166"/>
      <c r="WXF166"/>
      <c r="WXG166"/>
      <c r="WXH166"/>
      <c r="WXI166"/>
      <c r="WXJ166"/>
      <c r="WXK166"/>
      <c r="WXL166"/>
      <c r="WXM166"/>
      <c r="WXN166"/>
      <c r="WXO166"/>
      <c r="WXP166"/>
      <c r="WXQ166"/>
      <c r="WXR166"/>
      <c r="WXS166"/>
      <c r="WXT166"/>
      <c r="WXU166"/>
      <c r="WXV166"/>
      <c r="WXW166"/>
      <c r="WXX166"/>
      <c r="WXY166"/>
      <c r="WXZ166"/>
      <c r="WYA166"/>
      <c r="WYB166"/>
      <c r="WYC166"/>
      <c r="WYD166"/>
      <c r="WYE166"/>
      <c r="WYF166"/>
      <c r="WYG166"/>
      <c r="WYH166"/>
      <c r="WYI166"/>
      <c r="WYJ166"/>
      <c r="WYK166"/>
      <c r="WYL166"/>
      <c r="WYM166"/>
      <c r="WYN166"/>
      <c r="WYO166"/>
      <c r="WYP166"/>
      <c r="WYQ166"/>
      <c r="WYR166"/>
      <c r="WYS166"/>
      <c r="WYT166"/>
      <c r="WYU166"/>
      <c r="WYV166"/>
      <c r="WYW166"/>
      <c r="WYX166"/>
      <c r="WYY166"/>
      <c r="WYZ166"/>
      <c r="WZA166"/>
      <c r="WZB166"/>
      <c r="WZC166"/>
      <c r="WZD166"/>
      <c r="WZE166"/>
      <c r="WZF166"/>
      <c r="WZG166"/>
      <c r="WZH166"/>
      <c r="WZI166"/>
      <c r="WZJ166"/>
      <c r="WZK166"/>
      <c r="WZL166"/>
      <c r="WZM166"/>
      <c r="WZN166"/>
      <c r="WZO166"/>
      <c r="WZP166"/>
      <c r="WZQ166"/>
      <c r="WZR166"/>
      <c r="WZS166"/>
      <c r="WZT166"/>
      <c r="WZU166"/>
      <c r="WZV166"/>
      <c r="WZW166"/>
      <c r="WZX166"/>
      <c r="WZY166"/>
      <c r="WZZ166"/>
      <c r="XAA166"/>
      <c r="XAB166"/>
      <c r="XAC166"/>
      <c r="XAD166"/>
      <c r="XAE166"/>
      <c r="XAF166"/>
      <c r="XAG166"/>
      <c r="XAH166"/>
      <c r="XAI166"/>
      <c r="XAJ166"/>
      <c r="XAK166"/>
      <c r="XAL166"/>
      <c r="XAM166"/>
      <c r="XAN166"/>
      <c r="XAO166"/>
      <c r="XAP166"/>
      <c r="XAQ166"/>
      <c r="XAR166"/>
      <c r="XAS166"/>
      <c r="XAT166"/>
      <c r="XAU166"/>
      <c r="XAV166"/>
      <c r="XAW166"/>
      <c r="XAX166"/>
      <c r="XAY166"/>
      <c r="XAZ166"/>
      <c r="XBA166"/>
      <c r="XBB166"/>
      <c r="XBC166"/>
      <c r="XBD166"/>
      <c r="XBE166"/>
      <c r="XBF166"/>
      <c r="XBG166"/>
      <c r="XBH166"/>
      <c r="XBI166"/>
      <c r="XBJ166"/>
      <c r="XBK166"/>
      <c r="XBL166"/>
      <c r="XBM166"/>
      <c r="XBN166"/>
      <c r="XBO166"/>
      <c r="XBP166"/>
      <c r="XBQ166"/>
      <c r="XBR166"/>
      <c r="XBS166"/>
      <c r="XBT166"/>
      <c r="XBU166"/>
      <c r="XBV166"/>
      <c r="XBW166"/>
      <c r="XBX166"/>
      <c r="XBY166"/>
      <c r="XBZ166"/>
      <c r="XCA166"/>
      <c r="XCB166"/>
      <c r="XCC166"/>
      <c r="XCD166"/>
      <c r="XCE166"/>
      <c r="XCF166"/>
      <c r="XCG166"/>
      <c r="XCH166"/>
      <c r="XCI166"/>
      <c r="XCJ166"/>
      <c r="XCK166"/>
      <c r="XCL166"/>
      <c r="XCM166"/>
      <c r="XCN166"/>
      <c r="XCO166"/>
      <c r="XCP166"/>
      <c r="XCQ166"/>
      <c r="XCR166"/>
      <c r="XCS166"/>
      <c r="XCT166"/>
      <c r="XCU166"/>
      <c r="XCV166"/>
      <c r="XCW166"/>
      <c r="XCX166"/>
      <c r="XCY166"/>
      <c r="XCZ166"/>
      <c r="XDA166"/>
      <c r="XDB166"/>
      <c r="XDC166"/>
      <c r="XDD166"/>
      <c r="XDE166"/>
      <c r="XDF166"/>
      <c r="XDG166"/>
      <c r="XDH166"/>
      <c r="XDI166"/>
      <c r="XDJ166"/>
      <c r="XDK166"/>
      <c r="XDL166"/>
      <c r="XDM166"/>
      <c r="XDN166"/>
      <c r="XDO166"/>
      <c r="XDP166"/>
      <c r="XDQ166"/>
      <c r="XDR166"/>
      <c r="XDS166"/>
      <c r="XDT166"/>
      <c r="XDU166"/>
      <c r="XDV166"/>
      <c r="XDW166"/>
      <c r="XDX166"/>
      <c r="XDY166"/>
      <c r="XDZ166"/>
      <c r="XEA166"/>
      <c r="XEB166"/>
      <c r="XEC166"/>
      <c r="XED166"/>
      <c r="XEE166"/>
      <c r="XEF166"/>
      <c r="XEG166"/>
      <c r="XEH166"/>
      <c r="XEI166"/>
      <c r="XEJ166"/>
      <c r="XEK166"/>
      <c r="XEL166"/>
      <c r="XEM166"/>
      <c r="XEN166"/>
      <c r="XEO166"/>
      <c r="XEP166"/>
      <c r="XEQ166"/>
      <c r="XER166"/>
      <c r="XES166"/>
      <c r="XET166"/>
      <c r="XEU166"/>
      <c r="XEV166"/>
      <c r="XEW166"/>
      <c r="XEX166"/>
      <c r="XEY166"/>
      <c r="XEZ166"/>
      <c r="XFA166"/>
      <c r="XFB166"/>
      <c r="XFC166"/>
      <c r="XFD166"/>
    </row>
    <row r="167" spans="1:16384" ht="15" customHeight="1">
      <c r="A167" s="69" t="s">
        <v>17</v>
      </c>
      <c r="B167" s="65">
        <v>5034.0709999999999</v>
      </c>
      <c r="C167" s="70">
        <v>4797</v>
      </c>
      <c r="D167" s="70">
        <v>4530</v>
      </c>
      <c r="E167" s="70">
        <v>4483</v>
      </c>
      <c r="F167" s="70">
        <v>4356</v>
      </c>
      <c r="G167" s="65">
        <v>4356</v>
      </c>
      <c r="H167" s="70">
        <v>4531</v>
      </c>
      <c r="I167" s="70">
        <v>4168</v>
      </c>
      <c r="J167" s="70">
        <v>4166</v>
      </c>
      <c r="K167" s="70">
        <v>4136</v>
      </c>
      <c r="L167" s="65">
        <v>4136</v>
      </c>
      <c r="M167" s="70">
        <v>3880</v>
      </c>
      <c r="N167" s="70">
        <v>5229</v>
      </c>
      <c r="O167" s="70">
        <v>5727</v>
      </c>
      <c r="P167" s="70">
        <v>5717</v>
      </c>
      <c r="Q167" s="65">
        <v>5717</v>
      </c>
      <c r="R167" s="70">
        <v>5638</v>
      </c>
      <c r="S167" s="70">
        <v>6984</v>
      </c>
      <c r="T167" s="70">
        <v>9614</v>
      </c>
      <c r="U167" s="70">
        <v>9578</v>
      </c>
      <c r="V167" s="65">
        <v>9578</v>
      </c>
      <c r="W167" s="70">
        <v>9416</v>
      </c>
      <c r="X167" s="70">
        <v>9125</v>
      </c>
      <c r="Y167" s="70">
        <v>8939</v>
      </c>
      <c r="Z167" s="70">
        <v>9546</v>
      </c>
      <c r="AA167" s="65">
        <v>9546</v>
      </c>
      <c r="AB167" s="70">
        <v>9388</v>
      </c>
      <c r="AC167" s="70">
        <v>9939</v>
      </c>
      <c r="AD167" s="70">
        <v>9838</v>
      </c>
      <c r="AE167" s="70">
        <v>9827</v>
      </c>
      <c r="AF167" s="65">
        <v>9827</v>
      </c>
      <c r="AG167" s="70">
        <v>9717</v>
      </c>
      <c r="AH167" s="70">
        <v>9349</v>
      </c>
      <c r="AI167" s="70">
        <v>10363</v>
      </c>
      <c r="AJ167" s="70">
        <v>10087</v>
      </c>
      <c r="AK167" s="65">
        <v>10087</v>
      </c>
      <c r="AL167" s="70">
        <v>11912</v>
      </c>
      <c r="AM167" s="70">
        <v>11368</v>
      </c>
      <c r="AN167" s="70">
        <v>11077</v>
      </c>
      <c r="AO167" s="70">
        <v>10713</v>
      </c>
      <c r="AP167" s="65">
        <v>10713</v>
      </c>
      <c r="AQ167" s="70">
        <v>10605</v>
      </c>
      <c r="AR167" s="70">
        <v>11504</v>
      </c>
      <c r="AS167" s="70">
        <v>11246</v>
      </c>
      <c r="AT167" s="70">
        <v>10953</v>
      </c>
      <c r="AU167" s="65">
        <v>10953</v>
      </c>
      <c r="AV167" s="70">
        <v>10703</v>
      </c>
      <c r="AW167" s="70">
        <v>11519</v>
      </c>
      <c r="AX167" s="70">
        <v>11533</v>
      </c>
      <c r="AY167" s="70">
        <v>11861</v>
      </c>
      <c r="AZ167" s="65">
        <v>11861</v>
      </c>
      <c r="BA167" s="70">
        <v>12156</v>
      </c>
    </row>
    <row r="168" spans="1:16384" ht="15" customHeight="1">
      <c r="A168" s="69" t="s">
        <v>14</v>
      </c>
      <c r="B168" s="65">
        <v>3445.0709999999999</v>
      </c>
      <c r="C168" s="70">
        <v>3200</v>
      </c>
      <c r="D168" s="70">
        <v>3727</v>
      </c>
      <c r="E168" s="70">
        <v>3227</v>
      </c>
      <c r="F168" s="70">
        <v>3540</v>
      </c>
      <c r="G168" s="65">
        <v>3540</v>
      </c>
      <c r="H168" s="70">
        <v>2795</v>
      </c>
      <c r="I168" s="70">
        <v>3286</v>
      </c>
      <c r="J168" s="70">
        <v>2707</v>
      </c>
      <c r="K168" s="70">
        <v>3402</v>
      </c>
      <c r="L168" s="65">
        <v>3402</v>
      </c>
      <c r="M168" s="70">
        <v>2924</v>
      </c>
      <c r="N168" s="70">
        <v>4987</v>
      </c>
      <c r="O168" s="70">
        <v>4315</v>
      </c>
      <c r="P168" s="70">
        <v>5345</v>
      </c>
      <c r="Q168" s="65">
        <v>5345</v>
      </c>
      <c r="R168" s="70">
        <v>4937</v>
      </c>
      <c r="S168" s="70">
        <v>6497</v>
      </c>
      <c r="T168" s="70">
        <v>5994</v>
      </c>
      <c r="U168" s="70">
        <v>7280</v>
      </c>
      <c r="V168" s="65">
        <v>7280</v>
      </c>
      <c r="W168" s="70">
        <v>6646</v>
      </c>
      <c r="X168" s="70">
        <v>7896</v>
      </c>
      <c r="Y168" s="70">
        <v>7192</v>
      </c>
      <c r="Z168" s="70">
        <v>7999</v>
      </c>
      <c r="AA168" s="65">
        <v>7999</v>
      </c>
      <c r="AB168" s="70">
        <v>7303</v>
      </c>
      <c r="AC168" s="70">
        <v>7932</v>
      </c>
      <c r="AD168" s="70">
        <v>8582</v>
      </c>
      <c r="AE168" s="70">
        <v>8085</v>
      </c>
      <c r="AF168" s="65">
        <v>8085</v>
      </c>
      <c r="AG168" s="70">
        <v>7323</v>
      </c>
      <c r="AH168" s="70">
        <v>6951</v>
      </c>
      <c r="AI168" s="70">
        <v>6269</v>
      </c>
      <c r="AJ168" s="70">
        <v>7204</v>
      </c>
      <c r="AK168" s="65">
        <v>7204</v>
      </c>
      <c r="AL168" s="70">
        <v>8203</v>
      </c>
      <c r="AM168" s="70">
        <v>9543</v>
      </c>
      <c r="AN168" s="70">
        <v>8921</v>
      </c>
      <c r="AO168" s="70">
        <v>9396</v>
      </c>
      <c r="AP168" s="65">
        <v>9396</v>
      </c>
      <c r="AQ168" s="70">
        <v>8828</v>
      </c>
      <c r="AR168" s="70">
        <v>9254</v>
      </c>
      <c r="AS168" s="70">
        <v>9400</v>
      </c>
      <c r="AT168" s="70">
        <v>9719</v>
      </c>
      <c r="AU168" s="65">
        <v>9719</v>
      </c>
      <c r="AV168" s="70">
        <v>9333</v>
      </c>
      <c r="AW168" s="70">
        <v>9646</v>
      </c>
      <c r="AX168" s="70">
        <v>8968</v>
      </c>
      <c r="AY168" s="70">
        <v>9391</v>
      </c>
      <c r="AZ168" s="65">
        <v>9391</v>
      </c>
      <c r="BA168" s="70">
        <v>8940</v>
      </c>
    </row>
    <row r="169" spans="1:16384" ht="15" customHeight="1">
      <c r="A169" s="79" t="s">
        <v>30</v>
      </c>
      <c r="B169" s="216">
        <f>B168/B39</f>
        <v>0.8994963446475196</v>
      </c>
      <c r="C169" s="217"/>
      <c r="D169" s="217"/>
      <c r="E169" s="217"/>
      <c r="F169" s="218"/>
      <c r="G169" s="216">
        <f>G168/G39</f>
        <v>0.86383601756954609</v>
      </c>
      <c r="H169" s="217">
        <f>H168/(H39+F39+E39+D39)</f>
        <v>0.65625733740314629</v>
      </c>
      <c r="I169" s="217">
        <f>I168/(I39+H39+F39+E39)</f>
        <v>0.76047211293682015</v>
      </c>
      <c r="J169" s="217">
        <f>J168/(J39+I39+H39+F39)</f>
        <v>0.61285940683721984</v>
      </c>
      <c r="K169" s="218">
        <f>K168/(K39+J39+I39+H39)</f>
        <v>0.76329369531074709</v>
      </c>
      <c r="L169" s="216">
        <f>L168/L39</f>
        <v>0.76329369531074709</v>
      </c>
      <c r="M169" s="217">
        <f>M168/(M39+K39+J39+I39)</f>
        <v>0.64920071047957373</v>
      </c>
      <c r="N169" s="217">
        <f>N168/(N39+M39+K39+J39)</f>
        <v>1.0731654831073811</v>
      </c>
      <c r="O169" s="217">
        <f>O168/(O39+N39+M39+K39)</f>
        <v>0.91033755274261607</v>
      </c>
      <c r="P169" s="218">
        <f>P168/(P39+O39+N39+M39)</f>
        <v>1.0372598486318649</v>
      </c>
      <c r="Q169" s="216">
        <f>Q168/Q39</f>
        <v>1.0372598486318649</v>
      </c>
      <c r="R169" s="217">
        <f>R168/(R39+P39+O39+N39)</f>
        <v>1.0002025931928686</v>
      </c>
      <c r="S169" s="217">
        <f>S168/(S39+R39+P39+O39)</f>
        <v>1.331079696783446</v>
      </c>
      <c r="T169" s="217">
        <f>T168/(T39+S39+R39+P39)</f>
        <v>1.2351123016690706</v>
      </c>
      <c r="U169" s="218">
        <f>U168/(U39+T39+S39+R39)</f>
        <v>1.5655913978494624</v>
      </c>
      <c r="V169" s="216">
        <f>V168/V39</f>
        <v>1.5655913978494624</v>
      </c>
      <c r="W169" s="217">
        <f>W168/(W39+U39+T39+S39)</f>
        <v>1.368052696582956</v>
      </c>
      <c r="X169" s="217">
        <f>X168/(X39+W39+U39+T39)</f>
        <v>1.6875400726650993</v>
      </c>
      <c r="Y169" s="217">
        <f>Y168/(Y39+X39+W39+U39)</f>
        <v>1.6330608537693005</v>
      </c>
      <c r="Z169" s="218">
        <f>Z168/(Z39+Y39+X39+W39)</f>
        <v>1.7866875139602412</v>
      </c>
      <c r="AA169" s="216">
        <f>AA168/AA39</f>
        <v>1.7866875139602412</v>
      </c>
      <c r="AB169" s="217">
        <f>AB168/(AB39+Z39+Y39+X39)</f>
        <v>1.6757687012391005</v>
      </c>
      <c r="AC169" s="217">
        <f>AC168/(AC39+AB39+Z39+Y39)</f>
        <v>1.8344125809435707</v>
      </c>
      <c r="AD169" s="217">
        <f>AD168/(AD39+AC39+AB39+Z39)</f>
        <v>1.9737810487580496</v>
      </c>
      <c r="AE169" s="218">
        <f>AE168/(AE39+AD39+AC39+AB39)</f>
        <v>1.9576271186440677</v>
      </c>
      <c r="AF169" s="216">
        <f>AF168/AF39</f>
        <v>1.9576271186440677</v>
      </c>
      <c r="AG169" s="217">
        <f>AG168/(AG39+AE39+AD39+AC39)</f>
        <v>1.8112787534009398</v>
      </c>
      <c r="AH169" s="217">
        <f>AH168/(AH39+AG39+AE39+AD39)</f>
        <v>1.5357931948740611</v>
      </c>
      <c r="AI169" s="217">
        <f>AI168/(AI39+AH39+AG39+AE39)</f>
        <v>1.4012069736253912</v>
      </c>
      <c r="AJ169" s="218">
        <f>AJ168/(AJ39+AI39+AH39+AG39)</f>
        <v>1.5984024850232972</v>
      </c>
      <c r="AK169" s="216">
        <v>1.5984024850232972</v>
      </c>
      <c r="AL169" s="217">
        <v>1.8400628084342754</v>
      </c>
      <c r="AM169" s="217">
        <v>2.2995180722891568</v>
      </c>
      <c r="AN169" s="217">
        <v>2.0936399906125325</v>
      </c>
      <c r="AO169" s="218">
        <v>2.2087447108603668</v>
      </c>
      <c r="AP169" s="216">
        <v>2.2087447108603668</v>
      </c>
      <c r="AQ169" s="217">
        <v>2.0416281221091581</v>
      </c>
      <c r="AR169" s="217">
        <v>2.2379685610640871</v>
      </c>
      <c r="AS169" s="217">
        <v>2.3112859601671993</v>
      </c>
      <c r="AT169" s="218">
        <v>2.3938423645320195</v>
      </c>
      <c r="AU169" s="216">
        <v>2.3938423645320195</v>
      </c>
      <c r="AV169" s="217">
        <v>2.3153063755891838</v>
      </c>
      <c r="AW169" s="217">
        <v>2.4284994964753275</v>
      </c>
      <c r="AX169" s="217">
        <v>2.2930196880593199</v>
      </c>
      <c r="AY169" s="217">
        <v>2.4551633986928105</v>
      </c>
      <c r="AZ169" s="216">
        <v>2.4551633986928105</v>
      </c>
      <c r="BA169" s="217">
        <v>2.3415400733368257</v>
      </c>
    </row>
    <row r="171" spans="1:16384" ht="3" customHeight="1">
      <c r="A171" s="44"/>
      <c r="B171" s="45"/>
      <c r="C171" s="45"/>
      <c r="D171" s="45"/>
      <c r="E171" s="45"/>
      <c r="F171" s="45"/>
      <c r="G171" s="45"/>
      <c r="H171" s="45"/>
      <c r="I171" s="45"/>
      <c r="J171" s="45"/>
      <c r="K171" s="45"/>
      <c r="L171" s="45"/>
      <c r="M171" s="45"/>
      <c r="N171" s="45"/>
      <c r="O171" s="45"/>
      <c r="P171" s="45"/>
      <c r="Q171" s="45"/>
      <c r="R171" s="45"/>
      <c r="S171" s="45"/>
      <c r="T171" s="45"/>
      <c r="U171" s="45"/>
      <c r="V171" s="45"/>
      <c r="W171" s="45"/>
      <c r="X171" s="45"/>
      <c r="Y171" s="45"/>
      <c r="Z171" s="45"/>
      <c r="AA171" s="45"/>
      <c r="AB171" s="45"/>
      <c r="AC171" s="45"/>
      <c r="AD171" s="45"/>
      <c r="AE171" s="45"/>
      <c r="AF171" s="45"/>
      <c r="AG171" s="45"/>
      <c r="AH171" s="45"/>
      <c r="AI171" s="45"/>
      <c r="AJ171" s="45"/>
      <c r="AK171" s="45"/>
      <c r="AL171" s="45"/>
      <c r="AM171" s="45"/>
      <c r="AN171" s="45"/>
      <c r="AO171" s="45"/>
      <c r="AP171" s="45"/>
      <c r="AQ171" s="45"/>
      <c r="AR171" s="45"/>
      <c r="AS171" s="45"/>
      <c r="AT171" s="45"/>
      <c r="AU171" s="45"/>
      <c r="AV171" s="45"/>
      <c r="AW171" s="45"/>
      <c r="AX171" s="45"/>
      <c r="AY171" s="45"/>
      <c r="AZ171" s="45"/>
      <c r="BA171" s="45"/>
    </row>
    <row r="172" spans="1:16384" ht="3" customHeight="1">
      <c r="A172" s="44"/>
      <c r="B172" s="45"/>
      <c r="C172" s="45"/>
      <c r="D172" s="45"/>
      <c r="E172" s="45"/>
      <c r="F172" s="45"/>
      <c r="G172" s="45"/>
      <c r="H172" s="45"/>
      <c r="I172" s="45"/>
      <c r="J172" s="45"/>
      <c r="K172" s="45"/>
      <c r="L172" s="45"/>
      <c r="M172" s="45"/>
      <c r="N172" s="45"/>
      <c r="O172" s="45"/>
      <c r="P172" s="45"/>
      <c r="Q172" s="45"/>
      <c r="R172" s="45"/>
      <c r="S172" s="45"/>
      <c r="T172" s="45"/>
      <c r="U172" s="45"/>
      <c r="V172" s="45"/>
      <c r="W172" s="45"/>
      <c r="X172" s="45"/>
      <c r="Y172" s="45"/>
      <c r="Z172" s="45"/>
      <c r="AA172" s="45"/>
      <c r="AB172" s="45"/>
      <c r="AC172" s="45"/>
      <c r="AD172" s="45"/>
      <c r="AE172" s="45"/>
      <c r="AF172" s="45"/>
      <c r="AG172" s="45"/>
      <c r="AH172" s="45"/>
      <c r="AI172" s="45"/>
      <c r="AJ172" s="45"/>
      <c r="AK172" s="45"/>
      <c r="AL172" s="45"/>
      <c r="AM172" s="45"/>
      <c r="AN172" s="45"/>
      <c r="AO172" s="45"/>
      <c r="AP172" s="45"/>
      <c r="AQ172" s="45"/>
      <c r="AR172" s="45"/>
      <c r="AS172" s="45"/>
      <c r="AT172" s="45"/>
      <c r="AU172" s="45"/>
      <c r="AV172" s="45"/>
      <c r="AW172" s="45"/>
      <c r="AX172" s="45"/>
      <c r="AY172" s="45"/>
      <c r="AZ172" s="45"/>
      <c r="BA172" s="45"/>
    </row>
    <row r="173" spans="1:16384" ht="20.25">
      <c r="A173" s="35" t="s">
        <v>56</v>
      </c>
      <c r="B173" s="27"/>
      <c r="C173" s="27"/>
      <c r="D173" s="27"/>
      <c r="E173" s="27"/>
      <c r="F173" s="27"/>
      <c r="G173" s="27"/>
      <c r="H173" s="27"/>
      <c r="I173" s="27"/>
      <c r="J173" s="27"/>
      <c r="K173" s="27"/>
      <c r="L173" s="27"/>
      <c r="M173" s="27"/>
      <c r="N173" s="27"/>
      <c r="O173" s="27"/>
      <c r="P173" s="27"/>
      <c r="Q173" s="27"/>
      <c r="R173" s="27"/>
      <c r="S173" s="27"/>
      <c r="T173" s="27"/>
      <c r="U173" s="27"/>
      <c r="V173" s="27"/>
      <c r="W173" s="27"/>
      <c r="X173" s="27"/>
      <c r="Y173" s="27"/>
      <c r="Z173" s="27"/>
      <c r="AA173" s="27"/>
      <c r="AB173" s="27"/>
      <c r="AC173" s="27"/>
      <c r="AD173" s="27"/>
      <c r="AE173" s="27"/>
      <c r="AF173" s="27"/>
      <c r="AG173" s="27"/>
      <c r="AH173" s="27"/>
      <c r="AI173" s="27"/>
      <c r="AJ173" s="27"/>
      <c r="AK173" s="27"/>
      <c r="AL173" s="27"/>
      <c r="AM173" s="27"/>
      <c r="AN173" s="27"/>
      <c r="AO173" s="27"/>
      <c r="AP173" s="27"/>
      <c r="AQ173" s="27"/>
      <c r="AR173" s="27"/>
      <c r="AS173" s="27"/>
      <c r="AT173" s="27"/>
      <c r="AU173" s="27"/>
      <c r="AV173" s="27"/>
      <c r="AW173" s="27"/>
      <c r="AX173" s="27"/>
      <c r="AY173" s="27"/>
      <c r="AZ173" s="27"/>
      <c r="BA173" s="27"/>
    </row>
    <row r="174" spans="1:16384">
      <c r="A174" s="40" t="s">
        <v>86</v>
      </c>
      <c r="B174" s="41"/>
      <c r="C174" s="49"/>
      <c r="D174" s="49"/>
      <c r="E174" s="49"/>
      <c r="F174" s="49"/>
      <c r="G174" s="41"/>
      <c r="H174" s="49"/>
      <c r="I174" s="49"/>
      <c r="J174" s="49"/>
      <c r="K174" s="49"/>
      <c r="L174" s="41"/>
      <c r="M174" s="49"/>
      <c r="N174" s="49"/>
      <c r="O174" s="49"/>
      <c r="P174" s="49"/>
      <c r="Q174" s="41"/>
      <c r="R174" s="49"/>
      <c r="S174" s="49"/>
      <c r="T174" s="49"/>
      <c r="U174" s="49"/>
      <c r="V174" s="41"/>
      <c r="W174" s="49"/>
      <c r="X174" s="49"/>
      <c r="Y174" s="49"/>
      <c r="Z174" s="49"/>
      <c r="AA174" s="41"/>
      <c r="AB174" s="49"/>
      <c r="AC174" s="49"/>
      <c r="AD174" s="49"/>
      <c r="AE174" s="49"/>
      <c r="AF174" s="41"/>
      <c r="AG174" s="49"/>
      <c r="AH174" s="49"/>
      <c r="AI174" s="49"/>
      <c r="AJ174" s="49"/>
      <c r="AK174" s="41"/>
      <c r="AL174" s="49"/>
      <c r="AM174" s="49"/>
      <c r="AN174" s="49"/>
      <c r="AO174" s="49"/>
      <c r="AP174" s="41"/>
      <c r="AQ174" s="49"/>
      <c r="AR174" s="49"/>
      <c r="AS174" s="49"/>
      <c r="AT174" s="49"/>
      <c r="AU174" s="41"/>
      <c r="AV174" s="49"/>
      <c r="AW174" s="49"/>
      <c r="AX174" s="49"/>
      <c r="AY174" s="49"/>
      <c r="AZ174" s="41"/>
      <c r="BA174" s="49"/>
    </row>
    <row r="175" spans="1:16384">
      <c r="A175" s="69" t="s">
        <v>64</v>
      </c>
      <c r="B175" s="37">
        <f>SUM(B181:B190)</f>
        <v>5001</v>
      </c>
      <c r="C175" s="70">
        <v>1408</v>
      </c>
      <c r="D175" s="70">
        <v>1354</v>
      </c>
      <c r="E175" s="70">
        <v>1388</v>
      </c>
      <c r="F175" s="70">
        <f>G175-E175-D175-C175</f>
        <v>557.99032152888321</v>
      </c>
      <c r="G175" s="37">
        <f>SUM(G181:G190)</f>
        <v>4707.9903215288832</v>
      </c>
      <c r="H175" s="70">
        <f>H190+H184+H178+H181</f>
        <v>1326</v>
      </c>
      <c r="I175" s="70">
        <f>I190+I184+I178+I181</f>
        <v>1318</v>
      </c>
      <c r="J175" s="70">
        <f>J190+J184+J178+J181</f>
        <v>1343</v>
      </c>
      <c r="K175" s="70">
        <f>L175-J175-I175-H175</f>
        <v>1316</v>
      </c>
      <c r="L175" s="37">
        <f>L190+L184+L178+L181</f>
        <v>5303</v>
      </c>
      <c r="M175" s="70">
        <f>M190+M184+M178+M181</f>
        <v>1304</v>
      </c>
      <c r="N175" s="70">
        <f>N190+N184+N178+N181</f>
        <v>1307</v>
      </c>
      <c r="O175" s="70">
        <f>O190+O184+O178+O181</f>
        <v>1323</v>
      </c>
      <c r="P175" s="70">
        <f>Q175-O175-N175-M175</f>
        <v>1329</v>
      </c>
      <c r="Q175" s="37">
        <v>5263</v>
      </c>
      <c r="R175" s="70">
        <f>R190+R184+R178+R181</f>
        <v>1178</v>
      </c>
      <c r="S175" s="70">
        <v>1170</v>
      </c>
      <c r="T175" s="70">
        <f>T181+T178+T184+T190</f>
        <v>1186</v>
      </c>
      <c r="U175" s="70">
        <f>V175-T175-S175-R175</f>
        <v>1114</v>
      </c>
      <c r="V175" s="37">
        <f>V181+V178+V184+V190</f>
        <v>4648</v>
      </c>
      <c r="W175" s="70">
        <f>W181+W178+W184+W190</f>
        <v>1199</v>
      </c>
      <c r="X175" s="70">
        <f>X181+X178+X184+X190</f>
        <v>1161</v>
      </c>
      <c r="Y175" s="70">
        <f>Y181+Y178+Y184+Y190</f>
        <v>1149</v>
      </c>
      <c r="Z175" s="70">
        <f>AA175-Y175-X175-W175</f>
        <v>1121</v>
      </c>
      <c r="AA175" s="37">
        <f>AA181+AA178+AA184+AA190</f>
        <v>4630</v>
      </c>
      <c r="AB175" s="70">
        <f>AB181+AB178+AB184+AB190</f>
        <v>1129</v>
      </c>
      <c r="AC175" s="70">
        <f>AC181+AC178+AC184+AC190</f>
        <v>1121</v>
      </c>
      <c r="AD175" s="70">
        <f>AD181+AD178+AD184+AD190</f>
        <v>1127</v>
      </c>
      <c r="AE175" s="70">
        <f>AF175-AD175-AC175-AB175</f>
        <v>1101</v>
      </c>
      <c r="AF175" s="37">
        <f>AF181+AF178+AF184+AF190</f>
        <v>4478</v>
      </c>
      <c r="AG175" s="70">
        <f>AG181+AG178+AG184+AG190</f>
        <v>1077</v>
      </c>
      <c r="AH175" s="70">
        <f>AH181+AH178+AH184+AH190</f>
        <v>1073</v>
      </c>
      <c r="AI175" s="70">
        <f>AI181+AI178+AI184+AI190</f>
        <v>1081</v>
      </c>
      <c r="AJ175" s="70">
        <f>AK175-AI175-AH175-AG175</f>
        <v>1086</v>
      </c>
      <c r="AK175" s="37">
        <v>4317</v>
      </c>
      <c r="AL175" s="70">
        <v>1113</v>
      </c>
      <c r="AM175" s="70">
        <v>1105</v>
      </c>
      <c r="AN175" s="70">
        <v>1101</v>
      </c>
      <c r="AO175" s="70">
        <v>1088</v>
      </c>
      <c r="AP175" s="37">
        <v>4407</v>
      </c>
      <c r="AQ175" s="70">
        <v>1112</v>
      </c>
      <c r="AR175" s="70">
        <v>1100</v>
      </c>
      <c r="AS175" s="70">
        <v>1089</v>
      </c>
      <c r="AT175" s="70">
        <v>1082</v>
      </c>
      <c r="AU175" s="37">
        <v>4383</v>
      </c>
      <c r="AV175" s="70">
        <v>1078</v>
      </c>
      <c r="AW175" s="70">
        <v>1058</v>
      </c>
      <c r="AX175" s="70">
        <v>1061</v>
      </c>
      <c r="AY175" s="70">
        <v>1047</v>
      </c>
      <c r="AZ175" s="37">
        <v>4244</v>
      </c>
      <c r="BA175" s="70">
        <v>1063</v>
      </c>
    </row>
    <row r="176" spans="1:16384">
      <c r="A176" s="71" t="s">
        <v>7</v>
      </c>
      <c r="B176" s="24"/>
      <c r="C176" s="72"/>
      <c r="D176" s="72">
        <f>D175/C175-1</f>
        <v>-3.8352272727272707E-2</v>
      </c>
      <c r="E176" s="72">
        <f>E175/D175-1</f>
        <v>2.5110782865583436E-2</v>
      </c>
      <c r="F176" s="72">
        <f>F175/E175-1</f>
        <v>-0.5979896818956173</v>
      </c>
      <c r="G176" s="24"/>
      <c r="H176" s="72">
        <f>H175/F175-1</f>
        <v>1.3763853042590135</v>
      </c>
      <c r="I176" s="72">
        <f>I175/H175-1</f>
        <v>-6.0331825037707176E-3</v>
      </c>
      <c r="J176" s="72">
        <f>J175/I175-1</f>
        <v>1.8968133535660181E-2</v>
      </c>
      <c r="K176" s="72">
        <f>K175/J175-1</f>
        <v>-2.010424422933732E-2</v>
      </c>
      <c r="L176" s="24"/>
      <c r="M176" s="72">
        <f>M175/K175-1</f>
        <v>-9.1185410334346795E-3</v>
      </c>
      <c r="N176" s="72">
        <f>N175/M175-1</f>
        <v>2.3006134969325576E-3</v>
      </c>
      <c r="O176" s="72">
        <f>O175/N175-1</f>
        <v>1.2241775057383331E-2</v>
      </c>
      <c r="P176" s="72">
        <f>P175/O175-1</f>
        <v>4.5351473922903285E-3</v>
      </c>
      <c r="Q176" s="24"/>
      <c r="R176" s="72">
        <f>R175/P175-1</f>
        <v>-0.11361926260346122</v>
      </c>
      <c r="S176" s="72">
        <f>S175/R175-1</f>
        <v>-6.7911714770797493E-3</v>
      </c>
      <c r="T176" s="72">
        <f>T175/S175-1</f>
        <v>1.3675213675213627E-2</v>
      </c>
      <c r="U176" s="72">
        <f>U175/T175-1</f>
        <v>-6.0708263069140012E-2</v>
      </c>
      <c r="V176" s="24"/>
      <c r="W176" s="72">
        <f>W175/U175-1</f>
        <v>7.6301615798922695E-2</v>
      </c>
      <c r="X176" s="72">
        <f>X175/W175-1</f>
        <v>-3.169307756463724E-2</v>
      </c>
      <c r="Y176" s="72">
        <f>Y175/X175-1</f>
        <v>-1.033591731266148E-2</v>
      </c>
      <c r="Z176" s="72">
        <f>Z175/Y175-1</f>
        <v>-2.4369016536118338E-2</v>
      </c>
      <c r="AA176" s="24"/>
      <c r="AB176" s="72">
        <f>AB175/Z175-1</f>
        <v>7.1364852809991941E-3</v>
      </c>
      <c r="AC176" s="72">
        <f>AC175/AB175-1</f>
        <v>-7.0859167404783152E-3</v>
      </c>
      <c r="AD176" s="72">
        <f>AD175/AC175-1</f>
        <v>5.3523639607493401E-3</v>
      </c>
      <c r="AE176" s="72">
        <f>AE175/AD175-1</f>
        <v>-2.3070097604259043E-2</v>
      </c>
      <c r="AF176" s="24"/>
      <c r="AG176" s="72">
        <f>AG175/AE175-1</f>
        <v>-2.1798365122615793E-2</v>
      </c>
      <c r="AH176" s="72">
        <f>AH175/AG175-1</f>
        <v>-3.71402042711233E-3</v>
      </c>
      <c r="AI176" s="72">
        <f>AI175/AH175-1</f>
        <v>7.455731593662529E-3</v>
      </c>
      <c r="AJ176" s="72">
        <f>AJ175/AI175-1</f>
        <v>4.6253469010175685E-3</v>
      </c>
      <c r="AK176" s="24"/>
      <c r="AL176" s="72">
        <v>2.4861878453038777E-2</v>
      </c>
      <c r="AM176" s="72">
        <v>-7.1877807726864473E-3</v>
      </c>
      <c r="AN176" s="72">
        <v>-3.6199095022624306E-3</v>
      </c>
      <c r="AO176" s="72">
        <v>-1.1807447774750179E-2</v>
      </c>
      <c r="AP176" s="24"/>
      <c r="AQ176" s="72">
        <v>2.2058823529411686E-2</v>
      </c>
      <c r="AR176" s="72">
        <v>-1.0791366906474864E-2</v>
      </c>
      <c r="AS176" s="72">
        <v>-1.0000000000000009E-2</v>
      </c>
      <c r="AT176" s="72">
        <v>-6.4279155188246007E-3</v>
      </c>
      <c r="AU176" s="24"/>
      <c r="AV176" s="72">
        <v>-3.6968576709797141E-3</v>
      </c>
      <c r="AW176" s="72">
        <v>-1.8552875695732829E-2</v>
      </c>
      <c r="AX176" s="72">
        <v>2.835538752362865E-3</v>
      </c>
      <c r="AY176" s="72">
        <v>-1.3195098963242224E-2</v>
      </c>
      <c r="AZ176" s="24"/>
      <c r="BA176" s="72">
        <v>1.5281757402101137E-2</v>
      </c>
    </row>
    <row r="177" spans="1:53" ht="11.25" customHeight="1">
      <c r="A177" s="71" t="s">
        <v>8</v>
      </c>
      <c r="B177" s="24"/>
      <c r="C177" s="73"/>
      <c r="D177" s="73"/>
      <c r="E177" s="73"/>
      <c r="F177" s="73"/>
      <c r="G177" s="24">
        <f t="shared" ref="G177:R177" si="156">G175/B175-1</f>
        <v>-5.8590217650693166E-2</v>
      </c>
      <c r="H177" s="73">
        <f t="shared" si="156"/>
        <v>-5.8238636363636354E-2</v>
      </c>
      <c r="I177" s="73">
        <f t="shared" si="156"/>
        <v>-2.6587887740029514E-2</v>
      </c>
      <c r="J177" s="73">
        <f t="shared" si="156"/>
        <v>-3.2420749279538863E-2</v>
      </c>
      <c r="K177" s="73">
        <f t="shared" si="156"/>
        <v>1.3584638464591721</v>
      </c>
      <c r="L177" s="24">
        <f t="shared" si="156"/>
        <v>0.12638294427884289</v>
      </c>
      <c r="M177" s="73">
        <f t="shared" si="156"/>
        <v>-1.6591251885369585E-2</v>
      </c>
      <c r="N177" s="73">
        <f t="shared" si="156"/>
        <v>-8.3459787556904308E-3</v>
      </c>
      <c r="O177" s="73">
        <f t="shared" si="156"/>
        <v>-1.4892032762472085E-2</v>
      </c>
      <c r="P177" s="73">
        <f t="shared" si="156"/>
        <v>9.8784194528875879E-3</v>
      </c>
      <c r="Q177" s="24">
        <f t="shared" si="156"/>
        <v>-7.5429002451442573E-3</v>
      </c>
      <c r="R177" s="73">
        <f t="shared" si="156"/>
        <v>-9.6625766871165641E-2</v>
      </c>
      <c r="S177" s="73">
        <f t="shared" ref="S177:Y177" si="157">S175/N175-1</f>
        <v>-0.10482019892884464</v>
      </c>
      <c r="T177" s="73">
        <f t="shared" si="157"/>
        <v>-0.10355253212396065</v>
      </c>
      <c r="U177" s="73">
        <f t="shared" si="157"/>
        <v>-0.16177577125658393</v>
      </c>
      <c r="V177" s="24">
        <f t="shared" si="157"/>
        <v>-0.11685350560516816</v>
      </c>
      <c r="W177" s="73">
        <f t="shared" si="157"/>
        <v>1.7826825127334356E-2</v>
      </c>
      <c r="X177" s="73">
        <f t="shared" si="157"/>
        <v>-7.692307692307665E-3</v>
      </c>
      <c r="Y177" s="73">
        <f t="shared" si="157"/>
        <v>-3.1197301854974713E-2</v>
      </c>
      <c r="Z177" s="73">
        <f t="shared" ref="Z177:AI177" si="158">Z175/U175-1</f>
        <v>6.2836624775584049E-3</v>
      </c>
      <c r="AA177" s="24">
        <f t="shared" si="158"/>
        <v>-3.8726333907056487E-3</v>
      </c>
      <c r="AB177" s="73">
        <f t="shared" si="158"/>
        <v>-5.8381984987489588E-2</v>
      </c>
      <c r="AC177" s="73">
        <f t="shared" si="158"/>
        <v>-3.4453057708871637E-2</v>
      </c>
      <c r="AD177" s="73">
        <f t="shared" si="158"/>
        <v>-1.9147084421235805E-2</v>
      </c>
      <c r="AE177" s="73">
        <f t="shared" si="158"/>
        <v>-1.7841213202497763E-2</v>
      </c>
      <c r="AF177" s="24">
        <f t="shared" si="158"/>
        <v>-3.2829373650107962E-2</v>
      </c>
      <c r="AG177" s="73">
        <f t="shared" si="158"/>
        <v>-4.6058458813108993E-2</v>
      </c>
      <c r="AH177" s="73">
        <f t="shared" si="158"/>
        <v>-4.281891168599461E-2</v>
      </c>
      <c r="AI177" s="73">
        <f t="shared" si="158"/>
        <v>-4.081632653061229E-2</v>
      </c>
      <c r="AJ177" s="73">
        <f t="shared" ref="AJ177:AS177" si="159">AJ175/AE175-1</f>
        <v>-1.3623978201634857E-2</v>
      </c>
      <c r="AK177" s="24">
        <v>-3.5953550692273351E-2</v>
      </c>
      <c r="AL177" s="73">
        <v>3.3426183844011081E-2</v>
      </c>
      <c r="AM177" s="73">
        <v>2.982292637465056E-2</v>
      </c>
      <c r="AN177" s="73">
        <v>1.8501387604070274E-2</v>
      </c>
      <c r="AO177" s="73">
        <v>1.8416206261511192E-3</v>
      </c>
      <c r="AP177" s="24">
        <v>2.0847810979847115E-2</v>
      </c>
      <c r="AQ177" s="73">
        <v>-8.9847259658581979E-4</v>
      </c>
      <c r="AR177" s="73">
        <v>-4.5248868778280382E-3</v>
      </c>
      <c r="AS177" s="73">
        <v>-1.0899182561307952E-2</v>
      </c>
      <c r="AT177" s="73">
        <v>-5.5147058823529216E-3</v>
      </c>
      <c r="AU177" s="24">
        <v>-5.4458815520762593E-3</v>
      </c>
      <c r="AV177" s="73">
        <v>-3.0575539568345356E-2</v>
      </c>
      <c r="AW177" s="73">
        <v>-3.8181818181818206E-2</v>
      </c>
      <c r="AX177" s="73">
        <v>-2.5711662075298403E-2</v>
      </c>
      <c r="AY177" s="73">
        <v>-3.2347504621072054E-2</v>
      </c>
      <c r="AZ177" s="24">
        <v>-3.1713438284280193E-2</v>
      </c>
      <c r="BA177" s="73">
        <v>-1.3914656771799594E-2</v>
      </c>
    </row>
    <row r="178" spans="1:53">
      <c r="A178" s="69" t="s">
        <v>258</v>
      </c>
      <c r="B178" s="37">
        <v>712</v>
      </c>
      <c r="C178" s="80" t="s">
        <v>53</v>
      </c>
      <c r="D178" s="80" t="s">
        <v>53</v>
      </c>
      <c r="E178" s="80" t="s">
        <v>53</v>
      </c>
      <c r="F178" s="80" t="s">
        <v>53</v>
      </c>
      <c r="G178" s="37">
        <v>790</v>
      </c>
      <c r="H178" s="70">
        <v>207</v>
      </c>
      <c r="I178" s="70">
        <v>210</v>
      </c>
      <c r="J178" s="70">
        <v>221</v>
      </c>
      <c r="K178" s="70">
        <f>L178-J178-I178-H178</f>
        <v>225</v>
      </c>
      <c r="L178" s="37">
        <v>863</v>
      </c>
      <c r="M178" s="70">
        <v>236</v>
      </c>
      <c r="N178" s="70">
        <v>235</v>
      </c>
      <c r="O178" s="70">
        <v>249</v>
      </c>
      <c r="P178" s="70">
        <f>Q178-O178-N178-M178</f>
        <v>257</v>
      </c>
      <c r="Q178" s="37">
        <v>977</v>
      </c>
      <c r="R178" s="70">
        <v>265</v>
      </c>
      <c r="S178" s="70">
        <v>269</v>
      </c>
      <c r="T178" s="70">
        <v>276</v>
      </c>
      <c r="U178" s="70">
        <f>V178-T178-S178-R178</f>
        <v>282</v>
      </c>
      <c r="V178" s="37">
        <v>1092</v>
      </c>
      <c r="W178" s="70">
        <v>296</v>
      </c>
      <c r="X178" s="70">
        <v>285</v>
      </c>
      <c r="Y178" s="70">
        <v>291</v>
      </c>
      <c r="Z178" s="70">
        <f>AA178-Y178-X178-W178</f>
        <v>294</v>
      </c>
      <c r="AA178" s="37">
        <v>1166</v>
      </c>
      <c r="AB178" s="70">
        <v>310</v>
      </c>
      <c r="AC178" s="70">
        <v>321</v>
      </c>
      <c r="AD178" s="70">
        <v>332</v>
      </c>
      <c r="AE178" s="70">
        <f>AF178-AD178-AC178-AB178</f>
        <v>324</v>
      </c>
      <c r="AF178" s="37">
        <v>1287</v>
      </c>
      <c r="AG178" s="70">
        <v>332</v>
      </c>
      <c r="AH178" s="70">
        <v>345</v>
      </c>
      <c r="AI178" s="70">
        <v>353</v>
      </c>
      <c r="AJ178" s="70">
        <f>AK178-AI178-AH178-AG178</f>
        <v>364</v>
      </c>
      <c r="AK178" s="37">
        <v>1394</v>
      </c>
      <c r="AL178" s="70">
        <v>358</v>
      </c>
      <c r="AM178" s="70">
        <v>366</v>
      </c>
      <c r="AN178" s="70">
        <v>363</v>
      </c>
      <c r="AO178" s="70">
        <v>363</v>
      </c>
      <c r="AP178" s="37">
        <v>1450</v>
      </c>
      <c r="AQ178" s="70">
        <v>371</v>
      </c>
      <c r="AR178" s="70">
        <v>374</v>
      </c>
      <c r="AS178" s="70">
        <v>374</v>
      </c>
      <c r="AT178" s="70">
        <v>381</v>
      </c>
      <c r="AU178" s="37">
        <v>1500</v>
      </c>
      <c r="AV178" s="70">
        <v>382</v>
      </c>
      <c r="AW178" s="70">
        <v>380</v>
      </c>
      <c r="AX178" s="70">
        <v>385</v>
      </c>
      <c r="AY178" s="70">
        <v>397</v>
      </c>
      <c r="AZ178" s="37">
        <v>1544</v>
      </c>
      <c r="BA178" s="70">
        <v>396</v>
      </c>
    </row>
    <row r="179" spans="1:53">
      <c r="A179" s="71" t="s">
        <v>7</v>
      </c>
      <c r="B179" s="24"/>
      <c r="C179" s="72"/>
      <c r="D179" s="72"/>
      <c r="E179" s="72"/>
      <c r="F179" s="72"/>
      <c r="G179" s="24"/>
      <c r="H179" s="72"/>
      <c r="I179" s="72">
        <f>I178/H178-1</f>
        <v>1.449275362318847E-2</v>
      </c>
      <c r="J179" s="72">
        <f>J178/I178-1</f>
        <v>5.2380952380952417E-2</v>
      </c>
      <c r="K179" s="72">
        <f>K178/J178-1</f>
        <v>1.8099547511312153E-2</v>
      </c>
      <c r="L179" s="24"/>
      <c r="M179" s="72">
        <f>M178/K178-1</f>
        <v>4.8888888888888982E-2</v>
      </c>
      <c r="N179" s="72">
        <f>N178/M178-1</f>
        <v>-4.237288135593209E-3</v>
      </c>
      <c r="O179" s="72">
        <f>O178/N178-1</f>
        <v>5.9574468085106469E-2</v>
      </c>
      <c r="P179" s="72">
        <f>P178/O178-1</f>
        <v>3.2128514056224855E-2</v>
      </c>
      <c r="Q179" s="24"/>
      <c r="R179" s="72">
        <f>R178/P178-1</f>
        <v>3.112840466926059E-2</v>
      </c>
      <c r="S179" s="72">
        <f>S178/R178-1</f>
        <v>1.5094339622641506E-2</v>
      </c>
      <c r="T179" s="72">
        <f>T178/S178-1</f>
        <v>2.6022304832713727E-2</v>
      </c>
      <c r="U179" s="72">
        <f>U178/T178-1</f>
        <v>2.1739130434782705E-2</v>
      </c>
      <c r="V179" s="24"/>
      <c r="W179" s="72">
        <f>W178/U178-1</f>
        <v>4.9645390070921946E-2</v>
      </c>
      <c r="X179" s="72">
        <f>X178/W178-1</f>
        <v>-3.7162162162162171E-2</v>
      </c>
      <c r="Y179" s="72">
        <f>Y178/X178-1</f>
        <v>2.1052631578947434E-2</v>
      </c>
      <c r="Z179" s="72">
        <f>Z178/Y178-1</f>
        <v>1.0309278350515427E-2</v>
      </c>
      <c r="AA179" s="24"/>
      <c r="AB179" s="72">
        <f>AB178/Z178-1</f>
        <v>5.4421768707483054E-2</v>
      </c>
      <c r="AC179" s="72">
        <f>AC178/AB178-1</f>
        <v>3.548387096774186E-2</v>
      </c>
      <c r="AD179" s="72">
        <f>AD178/AC178-1</f>
        <v>3.4267912772585563E-2</v>
      </c>
      <c r="AE179" s="72">
        <f>AE178/AD178-1</f>
        <v>-2.4096385542168641E-2</v>
      </c>
      <c r="AF179" s="24"/>
      <c r="AG179" s="72">
        <f>AG178/AE178-1</f>
        <v>2.4691358024691468E-2</v>
      </c>
      <c r="AH179" s="72">
        <f>AH178/AG178-1</f>
        <v>3.9156626506024139E-2</v>
      </c>
      <c r="AI179" s="72">
        <f>AI178/AH178-1</f>
        <v>2.3188405797101463E-2</v>
      </c>
      <c r="AJ179" s="72">
        <f>AJ178/AI178-1</f>
        <v>3.1161473087818692E-2</v>
      </c>
      <c r="AK179" s="24"/>
      <c r="AL179" s="72">
        <v>-1.6483516483516536E-2</v>
      </c>
      <c r="AM179" s="72">
        <v>2.2346368715083775E-2</v>
      </c>
      <c r="AN179" s="72">
        <v>-8.1967213114754189E-3</v>
      </c>
      <c r="AO179" s="72">
        <v>0</v>
      </c>
      <c r="AP179" s="24"/>
      <c r="AQ179" s="72">
        <v>2.2038567493112948E-2</v>
      </c>
      <c r="AR179" s="72">
        <v>8.0862533692722671E-3</v>
      </c>
      <c r="AS179" s="72">
        <v>0</v>
      </c>
      <c r="AT179" s="72">
        <v>1.8716577540107027E-2</v>
      </c>
      <c r="AU179" s="24"/>
      <c r="AV179" s="72">
        <v>2.624671916010568E-3</v>
      </c>
      <c r="AW179" s="72">
        <v>-5.2356020942407877E-3</v>
      </c>
      <c r="AX179" s="72">
        <v>1.3157894736842035E-2</v>
      </c>
      <c r="AY179" s="72">
        <v>3.1168831168831179E-2</v>
      </c>
      <c r="AZ179" s="24"/>
      <c r="BA179" s="72">
        <v>-2.5188916876573986E-3</v>
      </c>
    </row>
    <row r="180" spans="1:53" ht="9.75" customHeight="1">
      <c r="A180" s="71" t="s">
        <v>8</v>
      </c>
      <c r="B180" s="24"/>
      <c r="C180" s="73"/>
      <c r="D180" s="73"/>
      <c r="E180" s="73"/>
      <c r="F180" s="73"/>
      <c r="G180" s="24">
        <f>G178/B178-1</f>
        <v>0.1095505617977528</v>
      </c>
      <c r="H180" s="73"/>
      <c r="I180" s="73"/>
      <c r="J180" s="73"/>
      <c r="K180" s="73"/>
      <c r="L180" s="24">
        <f t="shared" ref="L180:R180" si="160">L178/G178-1</f>
        <v>9.2405063291139289E-2</v>
      </c>
      <c r="M180" s="73">
        <f t="shared" si="160"/>
        <v>0.14009661835748788</v>
      </c>
      <c r="N180" s="73">
        <f t="shared" si="160"/>
        <v>0.11904761904761907</v>
      </c>
      <c r="O180" s="73">
        <f t="shared" si="160"/>
        <v>0.12669683257918551</v>
      </c>
      <c r="P180" s="73">
        <f t="shared" si="160"/>
        <v>0.14222222222222225</v>
      </c>
      <c r="Q180" s="24">
        <f t="shared" si="160"/>
        <v>0.13209733487833142</v>
      </c>
      <c r="R180" s="73">
        <f t="shared" si="160"/>
        <v>0.12288135593220328</v>
      </c>
      <c r="S180" s="73">
        <f t="shared" ref="S180:Y180" si="161">S178/N178-1</f>
        <v>0.14468085106382977</v>
      </c>
      <c r="T180" s="73">
        <f t="shared" si="161"/>
        <v>0.10843373493975905</v>
      </c>
      <c r="U180" s="73">
        <f t="shared" si="161"/>
        <v>9.7276264591439787E-2</v>
      </c>
      <c r="V180" s="24">
        <f t="shared" si="161"/>
        <v>0.11770726714431934</v>
      </c>
      <c r="W180" s="73">
        <f t="shared" si="161"/>
        <v>0.11698113207547167</v>
      </c>
      <c r="X180" s="73">
        <f t="shared" si="161"/>
        <v>5.9479553903345694E-2</v>
      </c>
      <c r="Y180" s="73">
        <f t="shared" si="161"/>
        <v>5.4347826086956541E-2</v>
      </c>
      <c r="Z180" s="73">
        <f t="shared" ref="Z180:AI180" si="162">Z178/U178-1</f>
        <v>4.2553191489361764E-2</v>
      </c>
      <c r="AA180" s="24">
        <f t="shared" si="162"/>
        <v>6.7765567765567747E-2</v>
      </c>
      <c r="AB180" s="73">
        <f t="shared" si="162"/>
        <v>4.7297297297297369E-2</v>
      </c>
      <c r="AC180" s="73">
        <f t="shared" si="162"/>
        <v>0.12631578947368416</v>
      </c>
      <c r="AD180" s="73">
        <f t="shared" si="162"/>
        <v>0.14089347079037795</v>
      </c>
      <c r="AE180" s="73">
        <f t="shared" si="162"/>
        <v>0.1020408163265305</v>
      </c>
      <c r="AF180" s="24">
        <f t="shared" si="162"/>
        <v>0.10377358490566047</v>
      </c>
      <c r="AG180" s="73">
        <f t="shared" si="162"/>
        <v>7.0967741935483941E-2</v>
      </c>
      <c r="AH180" s="73">
        <f t="shared" si="162"/>
        <v>7.4766355140186924E-2</v>
      </c>
      <c r="AI180" s="73">
        <f t="shared" si="162"/>
        <v>6.3253012048192669E-2</v>
      </c>
      <c r="AJ180" s="73">
        <f t="shared" ref="AJ180:AS180" si="163">AJ178/AE178-1</f>
        <v>0.12345679012345689</v>
      </c>
      <c r="AK180" s="24">
        <v>8.3139083139083247E-2</v>
      </c>
      <c r="AL180" s="73">
        <v>7.8313253012048278E-2</v>
      </c>
      <c r="AM180" s="73">
        <v>6.0869565217391397E-2</v>
      </c>
      <c r="AN180" s="73">
        <v>2.8328611898017053E-2</v>
      </c>
      <c r="AO180" s="73">
        <v>-2.7472527472527375E-3</v>
      </c>
      <c r="AP180" s="24">
        <v>4.0172166427546729E-2</v>
      </c>
      <c r="AQ180" s="73">
        <v>3.6312849162011274E-2</v>
      </c>
      <c r="AR180" s="73">
        <v>2.1857923497267784E-2</v>
      </c>
      <c r="AS180" s="73">
        <v>3.0303030303030276E-2</v>
      </c>
      <c r="AT180" s="73">
        <v>4.9586776859504189E-2</v>
      </c>
      <c r="AU180" s="24">
        <v>3.4482758620689724E-2</v>
      </c>
      <c r="AV180" s="73">
        <v>2.9649595687331498E-2</v>
      </c>
      <c r="AW180" s="73">
        <v>1.6042780748663166E-2</v>
      </c>
      <c r="AX180" s="73">
        <v>2.9411764705882248E-2</v>
      </c>
      <c r="AY180" s="73">
        <v>4.1994750656167978E-2</v>
      </c>
      <c r="AZ180" s="24">
        <v>2.9333333333333433E-2</v>
      </c>
      <c r="BA180" s="73">
        <v>3.6649214659685958E-2</v>
      </c>
    </row>
    <row r="181" spans="1:53" s="36" customFormat="1">
      <c r="A181" s="69" t="s">
        <v>259</v>
      </c>
      <c r="B181" s="37">
        <v>3905</v>
      </c>
      <c r="C181" s="80" t="s">
        <v>53</v>
      </c>
      <c r="D181" s="80" t="s">
        <v>53</v>
      </c>
      <c r="E181" s="80" t="s">
        <v>53</v>
      </c>
      <c r="F181" s="80" t="s">
        <v>53</v>
      </c>
      <c r="G181" s="37">
        <v>3572</v>
      </c>
      <c r="H181" s="70">
        <v>839</v>
      </c>
      <c r="I181" s="70">
        <v>828</v>
      </c>
      <c r="J181" s="70">
        <v>843</v>
      </c>
      <c r="K181" s="70">
        <f>L181-J181-I181-H181</f>
        <v>823</v>
      </c>
      <c r="L181" s="37">
        <v>3333</v>
      </c>
      <c r="M181" s="70">
        <v>785</v>
      </c>
      <c r="N181" s="70">
        <v>795</v>
      </c>
      <c r="O181" s="70">
        <v>788</v>
      </c>
      <c r="P181" s="70">
        <f>Q181-O181-N181-M181</f>
        <v>792</v>
      </c>
      <c r="Q181" s="37">
        <v>3160</v>
      </c>
      <c r="R181" s="70">
        <v>617</v>
      </c>
      <c r="S181" s="70">
        <v>607</v>
      </c>
      <c r="T181" s="70">
        <v>612</v>
      </c>
      <c r="U181" s="70">
        <f>V181-T181-S181-R181</f>
        <v>557</v>
      </c>
      <c r="V181" s="37">
        <v>2393</v>
      </c>
      <c r="W181" s="70">
        <v>588</v>
      </c>
      <c r="X181" s="70">
        <v>572</v>
      </c>
      <c r="Y181" s="70">
        <v>557</v>
      </c>
      <c r="Z181" s="70">
        <f>AA181-Y181-X181-W181</f>
        <v>537</v>
      </c>
      <c r="AA181" s="37">
        <v>2254</v>
      </c>
      <c r="AB181" s="70">
        <v>510</v>
      </c>
      <c r="AC181" s="70">
        <v>503</v>
      </c>
      <c r="AD181" s="70">
        <v>490</v>
      </c>
      <c r="AE181" s="70">
        <f>AF181-AD181-AC181-AB181</f>
        <v>468</v>
      </c>
      <c r="AF181" s="37">
        <v>1971</v>
      </c>
      <c r="AG181" s="70">
        <v>426</v>
      </c>
      <c r="AH181" s="70">
        <v>415</v>
      </c>
      <c r="AI181" s="70">
        <v>418</v>
      </c>
      <c r="AJ181" s="70">
        <f>AK181-AI181-AH181-AG181</f>
        <v>409</v>
      </c>
      <c r="AK181" s="37">
        <v>1668</v>
      </c>
      <c r="AL181" s="70">
        <v>381</v>
      </c>
      <c r="AM181" s="70">
        <v>375</v>
      </c>
      <c r="AN181" s="70">
        <v>373</v>
      </c>
      <c r="AO181" s="70">
        <v>370</v>
      </c>
      <c r="AP181" s="37">
        <v>1499</v>
      </c>
      <c r="AQ181" s="70">
        <v>359</v>
      </c>
      <c r="AR181" s="70">
        <v>351</v>
      </c>
      <c r="AS181" s="70">
        <v>351</v>
      </c>
      <c r="AT181" s="70">
        <v>331</v>
      </c>
      <c r="AU181" s="37">
        <v>1392</v>
      </c>
      <c r="AV181" s="70">
        <v>334</v>
      </c>
      <c r="AW181" s="70">
        <v>320</v>
      </c>
      <c r="AX181" s="70">
        <v>318</v>
      </c>
      <c r="AY181" s="70">
        <v>309</v>
      </c>
      <c r="AZ181" s="37">
        <v>1281</v>
      </c>
      <c r="BA181" s="70">
        <v>302</v>
      </c>
    </row>
    <row r="182" spans="1:53">
      <c r="A182" s="71" t="s">
        <v>7</v>
      </c>
      <c r="B182" s="24"/>
      <c r="C182" s="72"/>
      <c r="D182" s="72"/>
      <c r="E182" s="72"/>
      <c r="F182" s="72"/>
      <c r="G182" s="24"/>
      <c r="H182" s="72"/>
      <c r="I182" s="72">
        <f>I181/H181-1</f>
        <v>-1.3110846245530383E-2</v>
      </c>
      <c r="J182" s="72">
        <f>J181/I181-1</f>
        <v>1.8115942028985588E-2</v>
      </c>
      <c r="K182" s="72">
        <f>K181/J181-1</f>
        <v>-2.3724792408066464E-2</v>
      </c>
      <c r="L182" s="24"/>
      <c r="M182" s="72">
        <f>M181/K181-1</f>
        <v>-4.6172539489671927E-2</v>
      </c>
      <c r="N182" s="72">
        <f>N181/M181-1</f>
        <v>1.2738853503184711E-2</v>
      </c>
      <c r="O182" s="72">
        <f>O181/N181-1</f>
        <v>-8.8050314465408785E-3</v>
      </c>
      <c r="P182" s="72">
        <f>P181/O181-1</f>
        <v>5.0761421319795996E-3</v>
      </c>
      <c r="Q182" s="24"/>
      <c r="R182" s="72">
        <f>R181/P181-1</f>
        <v>-0.22095959595959591</v>
      </c>
      <c r="S182" s="72">
        <f>S181/R181-1</f>
        <v>-1.620745542949753E-2</v>
      </c>
      <c r="T182" s="72">
        <f>T181/S181-1</f>
        <v>8.2372322899506578E-3</v>
      </c>
      <c r="U182" s="72">
        <f>U181/T181-1</f>
        <v>-8.9869281045751648E-2</v>
      </c>
      <c r="V182" s="24"/>
      <c r="W182" s="72">
        <f>W181/U181-1</f>
        <v>5.5655296229802476E-2</v>
      </c>
      <c r="X182" s="72">
        <f>X181/W181-1</f>
        <v>-2.7210884353741527E-2</v>
      </c>
      <c r="Y182" s="72">
        <f>Y181/X181-1</f>
        <v>-2.6223776223776252E-2</v>
      </c>
      <c r="Z182" s="72">
        <f>Z181/Y181-1</f>
        <v>-3.590664272890487E-2</v>
      </c>
      <c r="AA182" s="24"/>
      <c r="AB182" s="72">
        <f>AB181/Z181-1</f>
        <v>-5.027932960893855E-2</v>
      </c>
      <c r="AC182" s="72">
        <f>AC181/AB181-1</f>
        <v>-1.3725490196078383E-2</v>
      </c>
      <c r="AD182" s="72">
        <f>AD181/AC181-1</f>
        <v>-2.5844930417495027E-2</v>
      </c>
      <c r="AE182" s="72">
        <f>AE181/AD181-1</f>
        <v>-4.4897959183673453E-2</v>
      </c>
      <c r="AF182" s="24"/>
      <c r="AG182" s="72">
        <f>AG181/AE181-1</f>
        <v>-8.9743589743589758E-2</v>
      </c>
      <c r="AH182" s="72">
        <f>AH181/AG181-1</f>
        <v>-2.5821596244131495E-2</v>
      </c>
      <c r="AI182" s="72">
        <f>AI181/AH181-1</f>
        <v>7.2289156626506035E-3</v>
      </c>
      <c r="AJ182" s="72">
        <f>AJ181/AI181-1</f>
        <v>-2.1531100478468845E-2</v>
      </c>
      <c r="AK182" s="24"/>
      <c r="AL182" s="72">
        <v>-6.8459657701711474E-2</v>
      </c>
      <c r="AM182" s="72">
        <v>-1.5748031496062964E-2</v>
      </c>
      <c r="AN182" s="72">
        <v>-5.3333333333333011E-3</v>
      </c>
      <c r="AO182" s="72">
        <v>-8.0428954423592547E-3</v>
      </c>
      <c r="AP182" s="24"/>
      <c r="AQ182" s="72">
        <v>-2.9729729729729759E-2</v>
      </c>
      <c r="AR182" s="72">
        <v>-2.2284122562674091E-2</v>
      </c>
      <c r="AS182" s="72">
        <v>0</v>
      </c>
      <c r="AT182" s="72">
        <v>-5.6980056980056926E-2</v>
      </c>
      <c r="AU182" s="24"/>
      <c r="AV182" s="72">
        <v>9.0634441087613649E-3</v>
      </c>
      <c r="AW182" s="72">
        <v>-4.1916167664670656E-2</v>
      </c>
      <c r="AX182" s="72">
        <v>-6.2499999999999778E-3</v>
      </c>
      <c r="AY182" s="72">
        <v>-2.8301886792452824E-2</v>
      </c>
      <c r="AZ182" s="24"/>
      <c r="BA182" s="72">
        <v>-2.2653721682847849E-2</v>
      </c>
    </row>
    <row r="183" spans="1:53" ht="9.75" customHeight="1">
      <c r="A183" s="71" t="s">
        <v>8</v>
      </c>
      <c r="B183" s="24"/>
      <c r="C183" s="73"/>
      <c r="D183" s="73"/>
      <c r="E183" s="73"/>
      <c r="F183" s="73"/>
      <c r="G183" s="24">
        <f t="shared" ref="G183:N183" si="164">G181/B181-1</f>
        <v>-8.5275288092189538E-2</v>
      </c>
      <c r="H183" s="73"/>
      <c r="I183" s="73"/>
      <c r="J183" s="73"/>
      <c r="K183" s="73"/>
      <c r="L183" s="24">
        <f t="shared" si="164"/>
        <v>-6.690929451287797E-2</v>
      </c>
      <c r="M183" s="73">
        <f t="shared" si="164"/>
        <v>-6.4362336114421881E-2</v>
      </c>
      <c r="N183" s="73">
        <f t="shared" si="164"/>
        <v>-3.9855072463768071E-2</v>
      </c>
      <c r="O183" s="73">
        <f t="shared" ref="O183:Y183" si="165">O181/J181-1</f>
        <v>-6.5243179122182693E-2</v>
      </c>
      <c r="P183" s="73">
        <f t="shared" si="165"/>
        <v>-3.7667071688942899E-2</v>
      </c>
      <c r="Q183" s="24">
        <f t="shared" si="165"/>
        <v>-5.1905190519051958E-2</v>
      </c>
      <c r="R183" s="73">
        <f t="shared" si="165"/>
        <v>-0.21401273885350314</v>
      </c>
      <c r="S183" s="73">
        <f t="shared" si="165"/>
        <v>-0.2364779874213836</v>
      </c>
      <c r="T183" s="73">
        <f t="shared" si="165"/>
        <v>-0.2233502538071066</v>
      </c>
      <c r="U183" s="73">
        <f t="shared" si="165"/>
        <v>-0.29671717171717171</v>
      </c>
      <c r="V183" s="24">
        <f t="shared" si="165"/>
        <v>-0.24272151898734173</v>
      </c>
      <c r="W183" s="73">
        <f t="shared" si="165"/>
        <v>-4.7001620745542927E-2</v>
      </c>
      <c r="X183" s="73">
        <f t="shared" si="165"/>
        <v>-5.766062602965405E-2</v>
      </c>
      <c r="Y183" s="73">
        <f t="shared" si="165"/>
        <v>-8.9869281045751648E-2</v>
      </c>
      <c r="Z183" s="73">
        <f t="shared" ref="Z183:AI183" si="166">Z181/U181-1</f>
        <v>-3.590664272890487E-2</v>
      </c>
      <c r="AA183" s="24">
        <f t="shared" si="166"/>
        <v>-5.8086084412870886E-2</v>
      </c>
      <c r="AB183" s="73">
        <f t="shared" si="166"/>
        <v>-0.13265306122448983</v>
      </c>
      <c r="AC183" s="73">
        <f t="shared" si="166"/>
        <v>-0.12062937062937062</v>
      </c>
      <c r="AD183" s="73">
        <f t="shared" si="166"/>
        <v>-0.1202872531418312</v>
      </c>
      <c r="AE183" s="73">
        <f t="shared" si="166"/>
        <v>-0.12849162011173187</v>
      </c>
      <c r="AF183" s="24">
        <f t="shared" si="166"/>
        <v>-0.12555456965394851</v>
      </c>
      <c r="AG183" s="73">
        <f t="shared" si="166"/>
        <v>-0.16470588235294115</v>
      </c>
      <c r="AH183" s="73">
        <f t="shared" si="166"/>
        <v>-0.1749502982107356</v>
      </c>
      <c r="AI183" s="73">
        <f t="shared" si="166"/>
        <v>-0.14693877551020407</v>
      </c>
      <c r="AJ183" s="73">
        <f t="shared" ref="AJ183:AS183" si="167">AJ181/AE181-1</f>
        <v>-0.12606837606837606</v>
      </c>
      <c r="AK183" s="24">
        <v>-0.15372907153729076</v>
      </c>
      <c r="AL183" s="73">
        <v>-0.10563380281690138</v>
      </c>
      <c r="AM183" s="73">
        <v>-9.6385542168674676E-2</v>
      </c>
      <c r="AN183" s="73">
        <v>-0.10765550239234445</v>
      </c>
      <c r="AO183" s="73">
        <v>-9.5354523227383914E-2</v>
      </c>
      <c r="AP183" s="24">
        <v>-0.10131894484412474</v>
      </c>
      <c r="AQ183" s="73">
        <v>-5.7742782152230943E-2</v>
      </c>
      <c r="AR183" s="73">
        <v>-6.3999999999999946E-2</v>
      </c>
      <c r="AS183" s="73">
        <v>-5.8981233243967868E-2</v>
      </c>
      <c r="AT183" s="73">
        <v>-0.10540540540540544</v>
      </c>
      <c r="AU183" s="24">
        <v>-7.138092061374246E-2</v>
      </c>
      <c r="AV183" s="73">
        <v>-6.9637883008356494E-2</v>
      </c>
      <c r="AW183" s="73">
        <v>-8.8319088319088301E-2</v>
      </c>
      <c r="AX183" s="73">
        <v>-9.4017094017094016E-2</v>
      </c>
      <c r="AY183" s="73">
        <v>-6.6465256797583083E-2</v>
      </c>
      <c r="AZ183" s="24">
        <v>-7.9741379310344862E-2</v>
      </c>
      <c r="BA183" s="73">
        <v>-9.5808383233532912E-2</v>
      </c>
    </row>
    <row r="184" spans="1:53">
      <c r="A184" s="69" t="s">
        <v>261</v>
      </c>
      <c r="B184" s="37">
        <v>754</v>
      </c>
      <c r="C184" s="80" t="s">
        <v>53</v>
      </c>
      <c r="D184" s="80" t="s">
        <v>53</v>
      </c>
      <c r="E184" s="80" t="s">
        <v>53</v>
      </c>
      <c r="F184" s="80" t="s">
        <v>53</v>
      </c>
      <c r="G184" s="37">
        <v>811</v>
      </c>
      <c r="H184" s="70">
        <v>207</v>
      </c>
      <c r="I184" s="70">
        <v>213</v>
      </c>
      <c r="J184" s="70">
        <v>217</v>
      </c>
      <c r="K184" s="70">
        <f>L184-J184-I184-H184</f>
        <v>214</v>
      </c>
      <c r="L184" s="37">
        <v>851</v>
      </c>
      <c r="M184" s="70">
        <v>223</v>
      </c>
      <c r="N184" s="70">
        <v>221</v>
      </c>
      <c r="O184" s="70">
        <v>219</v>
      </c>
      <c r="P184" s="70">
        <f>Q184-O184-N184-M184</f>
        <v>219</v>
      </c>
      <c r="Q184" s="37">
        <v>882</v>
      </c>
      <c r="R184" s="70">
        <v>228</v>
      </c>
      <c r="S184" s="70">
        <v>233</v>
      </c>
      <c r="T184" s="70">
        <v>239</v>
      </c>
      <c r="U184" s="70">
        <f>V184-T184-S184-R184</f>
        <v>231</v>
      </c>
      <c r="V184" s="37">
        <v>931</v>
      </c>
      <c r="W184" s="70">
        <v>245</v>
      </c>
      <c r="X184" s="70">
        <v>247</v>
      </c>
      <c r="Y184" s="70">
        <v>243</v>
      </c>
      <c r="Z184" s="70">
        <f>AA184-Y184-X184-W184</f>
        <v>241</v>
      </c>
      <c r="AA184" s="37">
        <v>976</v>
      </c>
      <c r="AB184" s="70">
        <v>247</v>
      </c>
      <c r="AC184" s="70">
        <v>241</v>
      </c>
      <c r="AD184" s="70">
        <v>252</v>
      </c>
      <c r="AE184" s="70">
        <f>AF184-AD184-AC184-AB184</f>
        <v>250</v>
      </c>
      <c r="AF184" s="37">
        <v>990</v>
      </c>
      <c r="AG184" s="70">
        <v>259</v>
      </c>
      <c r="AH184" s="70">
        <v>255</v>
      </c>
      <c r="AI184" s="70">
        <v>251</v>
      </c>
      <c r="AJ184" s="70">
        <f>AK184-AI184-AH184-AG184</f>
        <v>257</v>
      </c>
      <c r="AK184" s="37">
        <v>1022</v>
      </c>
      <c r="AL184" s="70">
        <v>265</v>
      </c>
      <c r="AM184" s="70">
        <v>263</v>
      </c>
      <c r="AN184" s="70">
        <v>265</v>
      </c>
      <c r="AO184" s="70">
        <v>260</v>
      </c>
      <c r="AP184" s="37">
        <v>1053</v>
      </c>
      <c r="AQ184" s="70">
        <v>271</v>
      </c>
      <c r="AR184" s="70">
        <v>268</v>
      </c>
      <c r="AS184" s="70">
        <v>258</v>
      </c>
      <c r="AT184" s="70">
        <v>272</v>
      </c>
      <c r="AU184" s="37">
        <v>1069</v>
      </c>
      <c r="AV184" s="70">
        <v>250</v>
      </c>
      <c r="AW184" s="70">
        <v>245</v>
      </c>
      <c r="AX184" s="70">
        <v>244</v>
      </c>
      <c r="AY184" s="70">
        <v>236</v>
      </c>
      <c r="AZ184" s="37">
        <v>975</v>
      </c>
      <c r="BA184" s="70">
        <v>247</v>
      </c>
    </row>
    <row r="185" spans="1:53">
      <c r="A185" s="71" t="s">
        <v>7</v>
      </c>
      <c r="B185" s="24"/>
      <c r="C185" s="72"/>
      <c r="D185" s="72"/>
      <c r="E185" s="72"/>
      <c r="F185" s="72"/>
      <c r="G185" s="24"/>
      <c r="H185" s="72"/>
      <c r="I185" s="72">
        <f>I184/H184-1</f>
        <v>2.8985507246376718E-2</v>
      </c>
      <c r="J185" s="72">
        <f>J184/I184-1</f>
        <v>1.8779342723004744E-2</v>
      </c>
      <c r="K185" s="72">
        <f>K184/J184-1</f>
        <v>-1.3824884792626779E-2</v>
      </c>
      <c r="L185" s="24"/>
      <c r="M185" s="72">
        <f>M184/K184-1</f>
        <v>4.20560747663552E-2</v>
      </c>
      <c r="N185" s="72">
        <f>N184/M184-1</f>
        <v>-8.9686098654708779E-3</v>
      </c>
      <c r="O185" s="72">
        <f>O184/N184-1</f>
        <v>-9.0497737556560764E-3</v>
      </c>
      <c r="P185" s="72">
        <f>P184/O184-1</f>
        <v>0</v>
      </c>
      <c r="Q185" s="24"/>
      <c r="R185" s="72">
        <f>R184/P184-1</f>
        <v>4.1095890410958846E-2</v>
      </c>
      <c r="S185" s="72">
        <f>S184/R184-1</f>
        <v>2.1929824561403466E-2</v>
      </c>
      <c r="T185" s="72">
        <f>T184/S184-1</f>
        <v>2.5751072961373467E-2</v>
      </c>
      <c r="U185" s="72">
        <f>U184/T184-1</f>
        <v>-3.3472803347280311E-2</v>
      </c>
      <c r="V185" s="24"/>
      <c r="W185" s="72">
        <f>W184/U184-1</f>
        <v>6.0606060606060552E-2</v>
      </c>
      <c r="X185" s="72">
        <f>X184/W184-1</f>
        <v>8.1632653061225469E-3</v>
      </c>
      <c r="Y185" s="72">
        <f>Y184/X184-1</f>
        <v>-1.619433198380571E-2</v>
      </c>
      <c r="Z185" s="72">
        <f>Z184/Y184-1</f>
        <v>-8.2304526748970819E-3</v>
      </c>
      <c r="AA185" s="24"/>
      <c r="AB185" s="72">
        <f>AB184/Z184-1</f>
        <v>2.4896265560165887E-2</v>
      </c>
      <c r="AC185" s="72">
        <f>AC184/AB184-1</f>
        <v>-2.4291497975708509E-2</v>
      </c>
      <c r="AD185" s="72">
        <f>AD184/AC184-1</f>
        <v>4.5643153526971014E-2</v>
      </c>
      <c r="AE185" s="72">
        <f>AE184/AD184-1</f>
        <v>-7.9365079365079083E-3</v>
      </c>
      <c r="AF185" s="24"/>
      <c r="AG185" s="72">
        <f>AG184/AE184-1</f>
        <v>3.6000000000000032E-2</v>
      </c>
      <c r="AH185" s="72">
        <f>AH184/AG184-1</f>
        <v>-1.5444015444015413E-2</v>
      </c>
      <c r="AI185" s="72">
        <f>AI184/AH184-1</f>
        <v>-1.5686274509803977E-2</v>
      </c>
      <c r="AJ185" s="72">
        <f>AJ184/AI184-1</f>
        <v>2.3904382470119501E-2</v>
      </c>
      <c r="AK185" s="24"/>
      <c r="AL185" s="72">
        <v>3.112840466926059E-2</v>
      </c>
      <c r="AM185" s="72">
        <v>-7.547169811320753E-3</v>
      </c>
      <c r="AN185" s="72">
        <v>7.6045627376426506E-3</v>
      </c>
      <c r="AO185" s="72">
        <v>-1.8867924528301883E-2</v>
      </c>
      <c r="AP185" s="24"/>
      <c r="AQ185" s="72">
        <v>4.2307692307692379E-2</v>
      </c>
      <c r="AR185" s="72">
        <v>-1.1070110701106972E-2</v>
      </c>
      <c r="AS185" s="72">
        <v>-3.7313432835820892E-2</v>
      </c>
      <c r="AT185" s="72">
        <v>5.4263565891472965E-2</v>
      </c>
      <c r="AU185" s="24"/>
      <c r="AV185" s="72">
        <v>-8.0882352941176516E-2</v>
      </c>
      <c r="AW185" s="72">
        <v>-2.0000000000000018E-2</v>
      </c>
      <c r="AX185" s="72">
        <v>-4.0816326530612734E-3</v>
      </c>
      <c r="AY185" s="72">
        <v>-3.2786885245901676E-2</v>
      </c>
      <c r="AZ185" s="24"/>
      <c r="BA185" s="72">
        <v>4.6610169491525522E-2</v>
      </c>
    </row>
    <row r="186" spans="1:53">
      <c r="A186" s="71" t="s">
        <v>8</v>
      </c>
      <c r="B186" s="24"/>
      <c r="C186" s="73"/>
      <c r="D186" s="73"/>
      <c r="E186" s="73"/>
      <c r="F186" s="73"/>
      <c r="G186" s="24">
        <f>G184/B184-1</f>
        <v>7.5596816976127412E-2</v>
      </c>
      <c r="H186" s="73"/>
      <c r="I186" s="73"/>
      <c r="J186" s="73"/>
      <c r="K186" s="73"/>
      <c r="L186" s="24">
        <f t="shared" ref="L186:R186" si="168">L184/G184-1</f>
        <v>4.9321824907521572E-2</v>
      </c>
      <c r="M186" s="73">
        <f t="shared" si="168"/>
        <v>7.7294685990338063E-2</v>
      </c>
      <c r="N186" s="73">
        <f t="shared" si="168"/>
        <v>3.7558685446009488E-2</v>
      </c>
      <c r="O186" s="73">
        <f t="shared" si="168"/>
        <v>9.2165898617511122E-3</v>
      </c>
      <c r="P186" s="73">
        <f t="shared" si="168"/>
        <v>2.3364485981308469E-2</v>
      </c>
      <c r="Q186" s="24">
        <f t="shared" si="168"/>
        <v>3.6427732079906017E-2</v>
      </c>
      <c r="R186" s="73">
        <f t="shared" si="168"/>
        <v>2.2421524663677195E-2</v>
      </c>
      <c r="S186" s="73">
        <f t="shared" ref="S186:Y186" si="169">S184/N184-1</f>
        <v>5.4298642533936681E-2</v>
      </c>
      <c r="T186" s="73">
        <f t="shared" si="169"/>
        <v>9.1324200913242004E-2</v>
      </c>
      <c r="U186" s="73">
        <f t="shared" si="169"/>
        <v>5.4794520547945202E-2</v>
      </c>
      <c r="V186" s="24">
        <f t="shared" si="169"/>
        <v>5.555555555555558E-2</v>
      </c>
      <c r="W186" s="73">
        <f t="shared" si="169"/>
        <v>7.4561403508771829E-2</v>
      </c>
      <c r="X186" s="73">
        <f t="shared" si="169"/>
        <v>6.0085836909871349E-2</v>
      </c>
      <c r="Y186" s="73">
        <f t="shared" si="169"/>
        <v>1.6736401673640211E-2</v>
      </c>
      <c r="Z186" s="73">
        <f t="shared" ref="Z186:AI186" si="170">Z184/U184-1</f>
        <v>4.3290043290043378E-2</v>
      </c>
      <c r="AA186" s="24">
        <f t="shared" si="170"/>
        <v>4.8335123523093548E-2</v>
      </c>
      <c r="AB186" s="73">
        <f t="shared" si="170"/>
        <v>8.1632653061225469E-3</v>
      </c>
      <c r="AC186" s="73">
        <f t="shared" si="170"/>
        <v>-2.4291497975708509E-2</v>
      </c>
      <c r="AD186" s="73">
        <f t="shared" si="170"/>
        <v>3.7037037037036979E-2</v>
      </c>
      <c r="AE186" s="73">
        <f t="shared" si="170"/>
        <v>3.7344398340249052E-2</v>
      </c>
      <c r="AF186" s="24">
        <f t="shared" si="170"/>
        <v>1.4344262295082011E-2</v>
      </c>
      <c r="AG186" s="73">
        <f t="shared" si="170"/>
        <v>4.8582995951417018E-2</v>
      </c>
      <c r="AH186" s="73">
        <f t="shared" si="170"/>
        <v>5.8091286307053958E-2</v>
      </c>
      <c r="AI186" s="73">
        <f t="shared" si="170"/>
        <v>-3.9682539682539542E-3</v>
      </c>
      <c r="AJ186" s="73">
        <f t="shared" ref="AJ186:AS186" si="171">AJ184/AE184-1</f>
        <v>2.8000000000000025E-2</v>
      </c>
      <c r="AK186" s="24">
        <v>3.2323232323232309E-2</v>
      </c>
      <c r="AL186" s="73">
        <v>2.316602316602312E-2</v>
      </c>
      <c r="AM186" s="73">
        <v>3.1372549019607954E-2</v>
      </c>
      <c r="AN186" s="73">
        <v>5.5776892430278835E-2</v>
      </c>
      <c r="AO186" s="73">
        <v>1.1673151750972721E-2</v>
      </c>
      <c r="AP186" s="24">
        <v>3.0332681017612551E-2</v>
      </c>
      <c r="AQ186" s="73">
        <v>2.2641509433962259E-2</v>
      </c>
      <c r="AR186" s="73">
        <v>1.9011406844106515E-2</v>
      </c>
      <c r="AS186" s="73">
        <v>-2.6415094339622636E-2</v>
      </c>
      <c r="AT186" s="73">
        <v>4.6153846153846212E-2</v>
      </c>
      <c r="AU186" s="24">
        <v>1.5194681861348425E-2</v>
      </c>
      <c r="AV186" s="73">
        <v>-7.7490774907749027E-2</v>
      </c>
      <c r="AW186" s="73">
        <v>-8.582089552238803E-2</v>
      </c>
      <c r="AX186" s="73">
        <v>-5.4263565891472854E-2</v>
      </c>
      <c r="AY186" s="73">
        <v>-0.13235294117647056</v>
      </c>
      <c r="AZ186" s="24">
        <v>-8.7932647333957004E-2</v>
      </c>
      <c r="BA186" s="73">
        <v>-1.2000000000000011E-2</v>
      </c>
    </row>
    <row r="187" spans="1:53">
      <c r="A187" s="69" t="s">
        <v>262</v>
      </c>
      <c r="B187" s="123" t="s">
        <v>45</v>
      </c>
      <c r="C187" s="80" t="s">
        <v>53</v>
      </c>
      <c r="D187" s="80" t="s">
        <v>53</v>
      </c>
      <c r="E187" s="80" t="s">
        <v>53</v>
      </c>
      <c r="F187" s="80" t="s">
        <v>53</v>
      </c>
      <c r="G187" s="123" t="s">
        <v>45</v>
      </c>
      <c r="H187" s="80" t="s">
        <v>53</v>
      </c>
      <c r="I187" s="80" t="s">
        <v>53</v>
      </c>
      <c r="J187" s="80" t="s">
        <v>53</v>
      </c>
      <c r="K187" s="80" t="s">
        <v>53</v>
      </c>
      <c r="L187" s="123" t="s">
        <v>45</v>
      </c>
      <c r="M187" s="80" t="s">
        <v>53</v>
      </c>
      <c r="N187" s="80" t="s">
        <v>53</v>
      </c>
      <c r="O187" s="80" t="s">
        <v>53</v>
      </c>
      <c r="P187" s="80" t="s">
        <v>53</v>
      </c>
      <c r="Q187" s="123" t="s">
        <v>45</v>
      </c>
      <c r="R187" s="80" t="s">
        <v>53</v>
      </c>
      <c r="S187" s="80" t="s">
        <v>53</v>
      </c>
      <c r="T187" s="80" t="s">
        <v>53</v>
      </c>
      <c r="U187" s="80" t="s">
        <v>53</v>
      </c>
      <c r="V187" s="123" t="s">
        <v>45</v>
      </c>
      <c r="W187" s="80" t="s">
        <v>53</v>
      </c>
      <c r="X187" s="80" t="s">
        <v>53</v>
      </c>
      <c r="Y187" s="80" t="s">
        <v>53</v>
      </c>
      <c r="Z187" s="80" t="s">
        <v>53</v>
      </c>
      <c r="AA187" s="123" t="s">
        <v>45</v>
      </c>
      <c r="AB187" s="80" t="s">
        <v>53</v>
      </c>
      <c r="AC187" s="80" t="s">
        <v>53</v>
      </c>
      <c r="AD187" s="80" t="s">
        <v>53</v>
      </c>
      <c r="AE187" s="80" t="s">
        <v>53</v>
      </c>
      <c r="AF187" s="123" t="s">
        <v>45</v>
      </c>
      <c r="AG187" s="80" t="s">
        <v>53</v>
      </c>
      <c r="AH187" s="80" t="s">
        <v>53</v>
      </c>
      <c r="AI187" s="80" t="s">
        <v>53</v>
      </c>
      <c r="AJ187" s="80" t="s">
        <v>53</v>
      </c>
      <c r="AK187" s="123" t="s">
        <v>45</v>
      </c>
      <c r="AL187" s="70">
        <v>48</v>
      </c>
      <c r="AM187" s="70">
        <v>43</v>
      </c>
      <c r="AN187" s="70">
        <v>46</v>
      </c>
      <c r="AO187" s="70">
        <v>46</v>
      </c>
      <c r="AP187" s="37">
        <v>184</v>
      </c>
      <c r="AQ187" s="70">
        <v>50</v>
      </c>
      <c r="AR187" s="70">
        <v>48</v>
      </c>
      <c r="AS187" s="70">
        <v>52</v>
      </c>
      <c r="AT187" s="70">
        <v>53</v>
      </c>
      <c r="AU187" s="37">
        <v>203</v>
      </c>
      <c r="AV187" s="70">
        <v>56</v>
      </c>
      <c r="AW187" s="70">
        <v>57</v>
      </c>
      <c r="AX187" s="70">
        <v>57</v>
      </c>
      <c r="AY187" s="70">
        <v>60</v>
      </c>
      <c r="AZ187" s="37">
        <v>230</v>
      </c>
      <c r="BA187" s="70">
        <v>62</v>
      </c>
    </row>
    <row r="188" spans="1:53">
      <c r="A188" s="71" t="s">
        <v>7</v>
      </c>
      <c r="B188" s="24"/>
      <c r="C188" s="73"/>
      <c r="D188" s="73"/>
      <c r="E188" s="73"/>
      <c r="F188" s="73"/>
      <c r="G188" s="24"/>
      <c r="H188" s="73"/>
      <c r="I188" s="73"/>
      <c r="J188" s="73"/>
      <c r="K188" s="73"/>
      <c r="L188" s="24"/>
      <c r="M188" s="73"/>
      <c r="N188" s="73"/>
      <c r="O188" s="73"/>
      <c r="P188" s="73"/>
      <c r="Q188" s="24"/>
      <c r="R188" s="73"/>
      <c r="S188" s="73"/>
      <c r="T188" s="73"/>
      <c r="U188" s="73"/>
      <c r="V188" s="24"/>
      <c r="W188" s="73"/>
      <c r="X188" s="73"/>
      <c r="Y188" s="73"/>
      <c r="Z188" s="73"/>
      <c r="AA188" s="24"/>
      <c r="AB188" s="73"/>
      <c r="AC188" s="73"/>
      <c r="AD188" s="73"/>
      <c r="AE188" s="73"/>
      <c r="AF188" s="24"/>
      <c r="AG188" s="73"/>
      <c r="AH188" s="73"/>
      <c r="AI188" s="73"/>
      <c r="AJ188" s="73"/>
      <c r="AK188" s="24"/>
      <c r="AL188" s="72"/>
      <c r="AM188" s="72">
        <v>-0.10416666666666663</v>
      </c>
      <c r="AN188" s="72">
        <v>6.9767441860465018E-2</v>
      </c>
      <c r="AO188" s="72">
        <v>0</v>
      </c>
      <c r="AP188" s="24"/>
      <c r="AQ188" s="72">
        <v>8.6956521739130377E-2</v>
      </c>
      <c r="AR188" s="72">
        <v>-4.0000000000000036E-2</v>
      </c>
      <c r="AS188" s="72">
        <v>8.3333333333333259E-2</v>
      </c>
      <c r="AT188" s="72">
        <v>1.9230769230769162E-2</v>
      </c>
      <c r="AU188" s="24"/>
      <c r="AV188" s="72">
        <v>5.6603773584905648E-2</v>
      </c>
      <c r="AW188" s="72">
        <v>1.7857142857142794E-2</v>
      </c>
      <c r="AX188" s="72">
        <v>0</v>
      </c>
      <c r="AY188" s="72">
        <v>5.2631578947368363E-2</v>
      </c>
      <c r="AZ188" s="24"/>
      <c r="BA188" s="72">
        <v>3.3333333333333437E-2</v>
      </c>
    </row>
    <row r="189" spans="1:53">
      <c r="A189" s="71" t="s">
        <v>8</v>
      </c>
      <c r="B189" s="24"/>
      <c r="C189" s="73"/>
      <c r="D189" s="73"/>
      <c r="E189" s="73"/>
      <c r="F189" s="73"/>
      <c r="G189" s="24"/>
      <c r="H189" s="73"/>
      <c r="I189" s="73"/>
      <c r="J189" s="73"/>
      <c r="K189" s="73"/>
      <c r="L189" s="24"/>
      <c r="M189" s="73"/>
      <c r="N189" s="73"/>
      <c r="O189" s="73"/>
      <c r="P189" s="73"/>
      <c r="Q189" s="24"/>
      <c r="R189" s="73"/>
      <c r="S189" s="73"/>
      <c r="T189" s="73"/>
      <c r="U189" s="73"/>
      <c r="V189" s="24"/>
      <c r="W189" s="73"/>
      <c r="X189" s="73"/>
      <c r="Y189" s="73"/>
      <c r="Z189" s="73"/>
      <c r="AA189" s="24"/>
      <c r="AB189" s="73"/>
      <c r="AC189" s="73"/>
      <c r="AD189" s="73"/>
      <c r="AE189" s="73"/>
      <c r="AF189" s="24"/>
      <c r="AG189" s="73"/>
      <c r="AH189" s="73"/>
      <c r="AI189" s="73"/>
      <c r="AJ189" s="73"/>
      <c r="AK189" s="24"/>
      <c r="AL189" s="73"/>
      <c r="AM189" s="73"/>
      <c r="AN189" s="73"/>
      <c r="AO189" s="73"/>
      <c r="AP189" s="24"/>
      <c r="AQ189" s="73">
        <v>4.1666666666666741E-2</v>
      </c>
      <c r="AR189" s="73">
        <v>0.11627906976744184</v>
      </c>
      <c r="AS189" s="73">
        <v>0.13043478260869557</v>
      </c>
      <c r="AT189" s="73">
        <v>0.15217391304347827</v>
      </c>
      <c r="AU189" s="24">
        <v>0.10326086956521729</v>
      </c>
      <c r="AV189" s="73">
        <v>0.12000000000000011</v>
      </c>
      <c r="AW189" s="73">
        <v>0.1875</v>
      </c>
      <c r="AX189" s="73">
        <v>9.6153846153846256E-2</v>
      </c>
      <c r="AY189" s="73">
        <v>0.13207547169811318</v>
      </c>
      <c r="AZ189" s="24">
        <v>0.13300492610837433</v>
      </c>
      <c r="BA189" s="73">
        <v>0.10714285714285721</v>
      </c>
    </row>
    <row r="190" spans="1:53">
      <c r="A190" s="69" t="s">
        <v>260</v>
      </c>
      <c r="B190" s="37">
        <v>342</v>
      </c>
      <c r="C190" s="80" t="s">
        <v>53</v>
      </c>
      <c r="D190" s="80" t="s">
        <v>53</v>
      </c>
      <c r="E190" s="80" t="s">
        <v>53</v>
      </c>
      <c r="F190" s="80" t="s">
        <v>53</v>
      </c>
      <c r="G190" s="37">
        <v>325</v>
      </c>
      <c r="H190" s="70">
        <v>73</v>
      </c>
      <c r="I190" s="70">
        <v>67</v>
      </c>
      <c r="J190" s="70">
        <v>62</v>
      </c>
      <c r="K190" s="70">
        <f>L190-J190-I190-H190</f>
        <v>54</v>
      </c>
      <c r="L190" s="37">
        <v>256</v>
      </c>
      <c r="M190" s="70">
        <v>60</v>
      </c>
      <c r="N190" s="70">
        <v>56</v>
      </c>
      <c r="O190" s="70">
        <v>67</v>
      </c>
      <c r="P190" s="70">
        <f>Q190-O190-N190-M190</f>
        <v>61</v>
      </c>
      <c r="Q190" s="37">
        <v>244</v>
      </c>
      <c r="R190" s="70">
        <v>68</v>
      </c>
      <c r="S190" s="70">
        <v>61</v>
      </c>
      <c r="T190" s="70">
        <v>59</v>
      </c>
      <c r="U190" s="70">
        <f>V190-T190-S190-R190</f>
        <v>44</v>
      </c>
      <c r="V190" s="37">
        <v>232</v>
      </c>
      <c r="W190" s="70">
        <v>70</v>
      </c>
      <c r="X190" s="70">
        <v>57</v>
      </c>
      <c r="Y190" s="70">
        <v>58</v>
      </c>
      <c r="Z190" s="70">
        <f>AA190-Y190-X190-W190</f>
        <v>49</v>
      </c>
      <c r="AA190" s="37">
        <v>234</v>
      </c>
      <c r="AB190" s="70">
        <v>62</v>
      </c>
      <c r="AC190" s="70">
        <v>56</v>
      </c>
      <c r="AD190" s="70">
        <v>53</v>
      </c>
      <c r="AE190" s="70">
        <f>AF190-AD190-AC190-AB190</f>
        <v>59</v>
      </c>
      <c r="AF190" s="37">
        <v>230</v>
      </c>
      <c r="AG190" s="70">
        <v>60</v>
      </c>
      <c r="AH190" s="70">
        <v>58</v>
      </c>
      <c r="AI190" s="70">
        <v>59</v>
      </c>
      <c r="AJ190" s="70">
        <f>AK190-AI190-AH190-AG190</f>
        <v>56</v>
      </c>
      <c r="AK190" s="37">
        <v>233</v>
      </c>
      <c r="AL190" s="70">
        <v>61</v>
      </c>
      <c r="AM190" s="70">
        <v>58</v>
      </c>
      <c r="AN190" s="70">
        <v>54</v>
      </c>
      <c r="AO190" s="70">
        <v>48</v>
      </c>
      <c r="AP190" s="37">
        <v>221</v>
      </c>
      <c r="AQ190" s="70">
        <v>61</v>
      </c>
      <c r="AR190" s="70">
        <v>59</v>
      </c>
      <c r="AS190" s="70">
        <v>54</v>
      </c>
      <c r="AT190" s="70">
        <v>45</v>
      </c>
      <c r="AU190" s="37">
        <v>219</v>
      </c>
      <c r="AV190" s="70">
        <v>56</v>
      </c>
      <c r="AW190" s="70">
        <v>56</v>
      </c>
      <c r="AX190" s="70">
        <v>57</v>
      </c>
      <c r="AY190" s="70">
        <v>45</v>
      </c>
      <c r="AZ190" s="37">
        <v>214</v>
      </c>
      <c r="BA190" s="70">
        <v>56</v>
      </c>
    </row>
    <row r="191" spans="1:53" ht="11.25" customHeight="1">
      <c r="A191" s="71" t="s">
        <v>7</v>
      </c>
      <c r="B191" s="24"/>
      <c r="C191" s="72"/>
      <c r="D191" s="72"/>
      <c r="E191" s="72"/>
      <c r="F191" s="72"/>
      <c r="G191" s="24"/>
      <c r="H191" s="72"/>
      <c r="I191" s="72">
        <f>I190/H190-1</f>
        <v>-8.2191780821917804E-2</v>
      </c>
      <c r="J191" s="72">
        <f>J190/I190-1</f>
        <v>-7.4626865671641784E-2</v>
      </c>
      <c r="K191" s="72">
        <f>K190/J190-1</f>
        <v>-0.12903225806451613</v>
      </c>
      <c r="L191" s="24"/>
      <c r="M191" s="72">
        <f>M190/K190-1</f>
        <v>0.11111111111111116</v>
      </c>
      <c r="N191" s="72">
        <f>N190/M190-1</f>
        <v>-6.6666666666666652E-2</v>
      </c>
      <c r="O191" s="72">
        <f>O190/N190-1</f>
        <v>0.1964285714285714</v>
      </c>
      <c r="P191" s="72">
        <f>P190/O190-1</f>
        <v>-8.9552238805970186E-2</v>
      </c>
      <c r="Q191" s="24"/>
      <c r="R191" s="72">
        <f>R190/P190-1</f>
        <v>0.11475409836065564</v>
      </c>
      <c r="S191" s="72">
        <f>S190/R190-1</f>
        <v>-0.1029411764705882</v>
      </c>
      <c r="T191" s="72">
        <f>T190/S190-1</f>
        <v>-3.2786885245901676E-2</v>
      </c>
      <c r="U191" s="72">
        <f>U190/T190-1</f>
        <v>-0.25423728813559321</v>
      </c>
      <c r="V191" s="24"/>
      <c r="W191" s="72">
        <f>W190/U190-1</f>
        <v>0.59090909090909083</v>
      </c>
      <c r="X191" s="72">
        <f>X190/W190-1</f>
        <v>-0.18571428571428572</v>
      </c>
      <c r="Y191" s="72">
        <f>Y190/X190-1</f>
        <v>1.7543859649122862E-2</v>
      </c>
      <c r="Z191" s="72">
        <f>Z190/Y190-1</f>
        <v>-0.15517241379310343</v>
      </c>
      <c r="AA191" s="24"/>
      <c r="AB191" s="72">
        <f>AB190/Z190-1</f>
        <v>0.26530612244897966</v>
      </c>
      <c r="AC191" s="72">
        <f>AC190/AB190-1</f>
        <v>-9.6774193548387122E-2</v>
      </c>
      <c r="AD191" s="72">
        <f>AD190/AC190-1</f>
        <v>-5.3571428571428603E-2</v>
      </c>
      <c r="AE191" s="72">
        <f>AE190/AD190-1</f>
        <v>0.1132075471698113</v>
      </c>
      <c r="AF191" s="24"/>
      <c r="AG191" s="72">
        <f>AG190/AE190-1</f>
        <v>1.6949152542372836E-2</v>
      </c>
      <c r="AH191" s="72">
        <f>AH190/AG190-1</f>
        <v>-3.3333333333333326E-2</v>
      </c>
      <c r="AI191" s="72">
        <f>AI190/AH190-1</f>
        <v>1.7241379310344751E-2</v>
      </c>
      <c r="AJ191" s="72">
        <f>AJ190/AI190-1</f>
        <v>-5.084745762711862E-2</v>
      </c>
      <c r="AK191" s="24"/>
      <c r="AL191" s="72">
        <v>8.9285714285714191E-2</v>
      </c>
      <c r="AM191" s="72">
        <v>-4.9180327868852514E-2</v>
      </c>
      <c r="AN191" s="72">
        <v>-6.8965517241379337E-2</v>
      </c>
      <c r="AO191" s="72">
        <v>-0.11111111111111116</v>
      </c>
      <c r="AP191" s="24"/>
      <c r="AQ191" s="72">
        <v>0.27083333333333326</v>
      </c>
      <c r="AR191" s="72">
        <v>-3.2786885245901676E-2</v>
      </c>
      <c r="AS191" s="72">
        <v>-8.4745762711864403E-2</v>
      </c>
      <c r="AT191" s="72">
        <v>-0.16666666666666663</v>
      </c>
      <c r="AU191" s="24"/>
      <c r="AV191" s="72">
        <v>0.24444444444444446</v>
      </c>
      <c r="AW191" s="72">
        <v>0</v>
      </c>
      <c r="AX191" s="72">
        <v>1.7857142857142794E-2</v>
      </c>
      <c r="AY191" s="72">
        <v>-0.21052631578947367</v>
      </c>
      <c r="AZ191" s="24"/>
      <c r="BA191" s="72">
        <v>0.24444444444444446</v>
      </c>
    </row>
    <row r="192" spans="1:53" ht="10.5" customHeight="1">
      <c r="A192" s="71" t="s">
        <v>8</v>
      </c>
      <c r="B192" s="24"/>
      <c r="C192" s="73"/>
      <c r="D192" s="73"/>
      <c r="E192" s="73"/>
      <c r="F192" s="73"/>
      <c r="G192" s="24">
        <f>G190/B190-1</f>
        <v>-4.9707602339181256E-2</v>
      </c>
      <c r="H192" s="73"/>
      <c r="I192" s="73"/>
      <c r="J192" s="73"/>
      <c r="K192" s="73"/>
      <c r="L192" s="24">
        <f t="shared" ref="L192:R192" si="172">L190/G190-1</f>
        <v>-0.21230769230769231</v>
      </c>
      <c r="M192" s="73">
        <f t="shared" si="172"/>
        <v>-0.17808219178082196</v>
      </c>
      <c r="N192" s="73">
        <f t="shared" si="172"/>
        <v>-0.16417910447761197</v>
      </c>
      <c r="O192" s="73">
        <f t="shared" si="172"/>
        <v>8.0645161290322509E-2</v>
      </c>
      <c r="P192" s="73">
        <f t="shared" si="172"/>
        <v>0.12962962962962954</v>
      </c>
      <c r="Q192" s="24">
        <f t="shared" si="172"/>
        <v>-4.6875E-2</v>
      </c>
      <c r="R192" s="73">
        <f t="shared" si="172"/>
        <v>0.1333333333333333</v>
      </c>
      <c r="S192" s="73">
        <f t="shared" ref="S192:Y192" si="173">S190/N190-1</f>
        <v>8.9285714285714191E-2</v>
      </c>
      <c r="T192" s="73">
        <f t="shared" si="173"/>
        <v>-0.11940298507462688</v>
      </c>
      <c r="U192" s="73">
        <f t="shared" si="173"/>
        <v>-0.27868852459016391</v>
      </c>
      <c r="V192" s="24">
        <f t="shared" si="173"/>
        <v>-4.9180327868852514E-2</v>
      </c>
      <c r="W192" s="73">
        <f t="shared" si="173"/>
        <v>2.9411764705882248E-2</v>
      </c>
      <c r="X192" s="73">
        <f t="shared" si="173"/>
        <v>-6.557377049180324E-2</v>
      </c>
      <c r="Y192" s="73">
        <f t="shared" si="173"/>
        <v>-1.6949152542372836E-2</v>
      </c>
      <c r="Z192" s="73">
        <f t="shared" ref="Z192:AI192" si="174">Z190/U190-1</f>
        <v>0.11363636363636354</v>
      </c>
      <c r="AA192" s="24">
        <f t="shared" si="174"/>
        <v>8.6206896551723755E-3</v>
      </c>
      <c r="AB192" s="73">
        <f t="shared" si="174"/>
        <v>-0.11428571428571432</v>
      </c>
      <c r="AC192" s="73">
        <f t="shared" si="174"/>
        <v>-1.7543859649122862E-2</v>
      </c>
      <c r="AD192" s="73">
        <f t="shared" si="174"/>
        <v>-8.6206896551724088E-2</v>
      </c>
      <c r="AE192" s="73">
        <f t="shared" si="174"/>
        <v>0.20408163265306123</v>
      </c>
      <c r="AF192" s="24">
        <f t="shared" si="174"/>
        <v>-1.7094017094017144E-2</v>
      </c>
      <c r="AG192" s="73">
        <f t="shared" si="174"/>
        <v>-3.2258064516129004E-2</v>
      </c>
      <c r="AH192" s="73">
        <f t="shared" si="174"/>
        <v>3.5714285714285809E-2</v>
      </c>
      <c r="AI192" s="73">
        <f t="shared" si="174"/>
        <v>0.1132075471698113</v>
      </c>
      <c r="AJ192" s="73">
        <f t="shared" ref="AJ192:AS192" si="175">AJ190/AE190-1</f>
        <v>-5.084745762711862E-2</v>
      </c>
      <c r="AK192" s="24">
        <v>1.304347826086949E-2</v>
      </c>
      <c r="AL192" s="73">
        <v>1.6666666666666607E-2</v>
      </c>
      <c r="AM192" s="73">
        <v>0</v>
      </c>
      <c r="AN192" s="73">
        <v>-8.4745762711864403E-2</v>
      </c>
      <c r="AO192" s="73">
        <v>-0.1428571428571429</v>
      </c>
      <c r="AP192" s="24">
        <v>-5.1502145922746823E-2</v>
      </c>
      <c r="AQ192" s="73">
        <v>0</v>
      </c>
      <c r="AR192" s="73">
        <v>1.7241379310344751E-2</v>
      </c>
      <c r="AS192" s="73">
        <v>0</v>
      </c>
      <c r="AT192" s="73">
        <v>-6.25E-2</v>
      </c>
      <c r="AU192" s="24">
        <v>-9.0497737556560764E-3</v>
      </c>
      <c r="AV192" s="73">
        <v>-8.1967213114754078E-2</v>
      </c>
      <c r="AW192" s="73">
        <v>-5.084745762711862E-2</v>
      </c>
      <c r="AX192" s="73">
        <v>5.555555555555558E-2</v>
      </c>
      <c r="AY192" s="73">
        <v>0</v>
      </c>
      <c r="AZ192" s="24">
        <v>-2.2831050228310557E-2</v>
      </c>
      <c r="BA192" s="73">
        <v>0</v>
      </c>
    </row>
    <row r="193" spans="1:53" ht="3" customHeight="1">
      <c r="A193" s="40"/>
      <c r="B193" s="41"/>
      <c r="C193" s="42"/>
      <c r="D193" s="42"/>
      <c r="E193" s="42"/>
      <c r="F193" s="42"/>
      <c r="G193" s="41"/>
      <c r="H193" s="42"/>
      <c r="I193" s="42"/>
      <c r="J193" s="42"/>
      <c r="K193" s="42"/>
      <c r="L193" s="41"/>
      <c r="M193" s="42"/>
      <c r="N193" s="42"/>
      <c r="O193" s="42"/>
      <c r="P193" s="42"/>
      <c r="Q193" s="41"/>
      <c r="R193" s="42"/>
      <c r="S193" s="42"/>
      <c r="T193" s="42"/>
      <c r="U193" s="42"/>
      <c r="V193" s="41"/>
      <c r="W193" s="42"/>
      <c r="X193" s="42"/>
      <c r="Y193" s="42"/>
      <c r="Z193" s="42"/>
      <c r="AA193" s="41"/>
      <c r="AB193" s="42"/>
      <c r="AC193" s="42"/>
      <c r="AD193" s="42"/>
      <c r="AE193" s="42"/>
      <c r="AF193" s="41"/>
      <c r="AG193" s="42"/>
      <c r="AH193" s="42"/>
      <c r="AI193" s="42"/>
      <c r="AJ193" s="42"/>
      <c r="AK193" s="41"/>
      <c r="AL193" s="42"/>
      <c r="AM193" s="42"/>
      <c r="AN193" s="42"/>
      <c r="AO193" s="42"/>
      <c r="AP193" s="41"/>
      <c r="AQ193" s="42"/>
      <c r="AR193" s="42"/>
      <c r="AS193" s="42"/>
      <c r="AT193" s="42"/>
      <c r="AU193" s="41"/>
      <c r="AV193" s="42"/>
      <c r="AW193" s="42"/>
      <c r="AX193" s="42"/>
      <c r="AY193" s="42"/>
      <c r="AZ193" s="41"/>
      <c r="BA193" s="42"/>
    </row>
    <row r="194" spans="1:53">
      <c r="A194" s="69" t="s">
        <v>142</v>
      </c>
      <c r="B194" s="123" t="s">
        <v>45</v>
      </c>
      <c r="C194" s="80" t="s">
        <v>53</v>
      </c>
      <c r="D194" s="80" t="s">
        <v>53</v>
      </c>
      <c r="E194" s="80" t="s">
        <v>53</v>
      </c>
      <c r="F194" s="80" t="s">
        <v>53</v>
      </c>
      <c r="G194" s="37">
        <v>3303</v>
      </c>
      <c r="H194" s="80" t="s">
        <v>53</v>
      </c>
      <c r="I194" s="80" t="s">
        <v>53</v>
      </c>
      <c r="J194" s="80" t="s">
        <v>53</v>
      </c>
      <c r="K194" s="80" t="s">
        <v>53</v>
      </c>
      <c r="L194" s="37">
        <v>3165</v>
      </c>
      <c r="M194" s="80" t="s">
        <v>53</v>
      </c>
      <c r="N194" s="80" t="s">
        <v>53</v>
      </c>
      <c r="O194" s="80" t="s">
        <v>53</v>
      </c>
      <c r="P194" s="80" t="s">
        <v>53</v>
      </c>
      <c r="Q194" s="37">
        <v>3128</v>
      </c>
      <c r="R194" s="80" t="s">
        <v>53</v>
      </c>
      <c r="S194" s="80" t="s">
        <v>53</v>
      </c>
      <c r="T194" s="80" t="s">
        <v>53</v>
      </c>
      <c r="U194" s="80" t="s">
        <v>53</v>
      </c>
      <c r="V194" s="37">
        <v>2777</v>
      </c>
      <c r="W194" s="80" t="s">
        <v>53</v>
      </c>
      <c r="X194" s="80" t="s">
        <v>53</v>
      </c>
      <c r="Y194" s="80" t="s">
        <v>53</v>
      </c>
      <c r="Z194" s="80" t="s">
        <v>53</v>
      </c>
      <c r="AA194" s="37">
        <v>2716</v>
      </c>
      <c r="AB194" s="80" t="s">
        <v>53</v>
      </c>
      <c r="AC194" s="80" t="s">
        <v>53</v>
      </c>
      <c r="AD194" s="80" t="s">
        <v>53</v>
      </c>
      <c r="AE194" s="80" t="s">
        <v>53</v>
      </c>
      <c r="AF194" s="37">
        <v>2605</v>
      </c>
      <c r="AG194" s="80" t="s">
        <v>53</v>
      </c>
      <c r="AH194" s="80" t="s">
        <v>53</v>
      </c>
      <c r="AI194" s="80" t="s">
        <v>53</v>
      </c>
      <c r="AJ194" s="80" t="s">
        <v>53</v>
      </c>
      <c r="AK194" s="37">
        <v>2498</v>
      </c>
      <c r="AL194" s="80" t="s">
        <v>53</v>
      </c>
      <c r="AM194" s="80" t="s">
        <v>53</v>
      </c>
      <c r="AN194" s="80" t="s">
        <v>53</v>
      </c>
      <c r="AO194" s="80" t="s">
        <v>53</v>
      </c>
      <c r="AP194" s="37">
        <v>2507</v>
      </c>
      <c r="AQ194" s="80" t="s">
        <v>53</v>
      </c>
      <c r="AR194" s="80" t="s">
        <v>53</v>
      </c>
      <c r="AS194" s="80" t="s">
        <v>53</v>
      </c>
      <c r="AT194" s="80" t="s">
        <v>53</v>
      </c>
      <c r="AU194" s="37">
        <v>2329</v>
      </c>
      <c r="AV194" s="80" t="s">
        <v>53</v>
      </c>
      <c r="AW194" s="80" t="s">
        <v>53</v>
      </c>
      <c r="AX194" s="80" t="s">
        <v>53</v>
      </c>
      <c r="AY194" s="80" t="s">
        <v>53</v>
      </c>
      <c r="AZ194" s="37">
        <v>2232</v>
      </c>
      <c r="BA194" s="80" t="s">
        <v>53</v>
      </c>
    </row>
    <row r="195" spans="1:53" ht="11.25" customHeight="1">
      <c r="A195" s="71" t="s">
        <v>144</v>
      </c>
      <c r="B195" s="24"/>
      <c r="C195" s="73"/>
      <c r="D195" s="73"/>
      <c r="E195" s="73"/>
      <c r="F195" s="73"/>
      <c r="G195" s="24">
        <f>G194/G175</f>
        <v>0.70157323495248314</v>
      </c>
      <c r="H195" s="73"/>
      <c r="I195" s="73"/>
      <c r="J195" s="73"/>
      <c r="K195" s="73"/>
      <c r="L195" s="24">
        <f>L194/L175</f>
        <v>0.59683198189703945</v>
      </c>
      <c r="M195" s="73"/>
      <c r="N195" s="73"/>
      <c r="O195" s="73"/>
      <c r="P195" s="73"/>
      <c r="Q195" s="24">
        <f>Q194/Q175</f>
        <v>0.59433783013490404</v>
      </c>
      <c r="R195" s="73"/>
      <c r="S195" s="73"/>
      <c r="T195" s="73"/>
      <c r="U195" s="73"/>
      <c r="V195" s="24">
        <f>V194/V175</f>
        <v>0.59746127366609292</v>
      </c>
      <c r="W195" s="73"/>
      <c r="X195" s="73"/>
      <c r="Y195" s="73"/>
      <c r="Z195" s="73"/>
      <c r="AA195" s="24">
        <f>AA194/AA175</f>
        <v>0.58660907127429807</v>
      </c>
      <c r="AB195" s="73"/>
      <c r="AC195" s="73"/>
      <c r="AD195" s="73"/>
      <c r="AE195" s="73"/>
      <c r="AF195" s="24">
        <f>AF194/AF175</f>
        <v>0.58173291648057168</v>
      </c>
      <c r="AG195" s="73"/>
      <c r="AH195" s="73"/>
      <c r="AI195" s="73"/>
      <c r="AJ195" s="73"/>
      <c r="AK195" s="24">
        <v>0.57864257586286771</v>
      </c>
      <c r="AL195" s="73"/>
      <c r="AM195" s="73"/>
      <c r="AN195" s="73"/>
      <c r="AO195" s="73"/>
      <c r="AP195" s="24">
        <v>0.56886771046063078</v>
      </c>
      <c r="AQ195" s="73"/>
      <c r="AR195" s="73"/>
      <c r="AS195" s="73"/>
      <c r="AT195" s="73"/>
      <c r="AU195" s="24">
        <v>0.53137120693588868</v>
      </c>
      <c r="AV195" s="73"/>
      <c r="AW195" s="73"/>
      <c r="AX195" s="73"/>
      <c r="AY195" s="73"/>
      <c r="AZ195" s="24">
        <v>0.52591894439208298</v>
      </c>
      <c r="BA195" s="73"/>
    </row>
    <row r="196" spans="1:53">
      <c r="A196" s="69" t="s">
        <v>143</v>
      </c>
      <c r="B196" s="123" t="s">
        <v>45</v>
      </c>
      <c r="C196" s="80" t="s">
        <v>53</v>
      </c>
      <c r="D196" s="80" t="s">
        <v>53</v>
      </c>
      <c r="E196" s="80" t="s">
        <v>53</v>
      </c>
      <c r="F196" s="80" t="s">
        <v>53</v>
      </c>
      <c r="G196" s="37">
        <v>2195</v>
      </c>
      <c r="H196" s="80" t="s">
        <v>53</v>
      </c>
      <c r="I196" s="80" t="s">
        <v>53</v>
      </c>
      <c r="J196" s="80" t="s">
        <v>53</v>
      </c>
      <c r="K196" s="80" t="s">
        <v>53</v>
      </c>
      <c r="L196" s="37">
        <v>2138</v>
      </c>
      <c r="M196" s="80" t="s">
        <v>53</v>
      </c>
      <c r="N196" s="80" t="s">
        <v>53</v>
      </c>
      <c r="O196" s="80" t="s">
        <v>53</v>
      </c>
      <c r="P196" s="80" t="s">
        <v>53</v>
      </c>
      <c r="Q196" s="37">
        <v>2134</v>
      </c>
      <c r="R196" s="80" t="s">
        <v>53</v>
      </c>
      <c r="S196" s="80" t="s">
        <v>53</v>
      </c>
      <c r="T196" s="80" t="s">
        <v>53</v>
      </c>
      <c r="U196" s="80" t="s">
        <v>53</v>
      </c>
      <c r="V196" s="37">
        <v>1871</v>
      </c>
      <c r="W196" s="80" t="s">
        <v>53</v>
      </c>
      <c r="X196" s="80" t="s">
        <v>53</v>
      </c>
      <c r="Y196" s="80" t="s">
        <v>53</v>
      </c>
      <c r="Z196" s="80" t="s">
        <v>53</v>
      </c>
      <c r="AA196" s="37">
        <v>1914</v>
      </c>
      <c r="AB196" s="80" t="s">
        <v>53</v>
      </c>
      <c r="AC196" s="80" t="s">
        <v>53</v>
      </c>
      <c r="AD196" s="80" t="s">
        <v>53</v>
      </c>
      <c r="AE196" s="80" t="s">
        <v>53</v>
      </c>
      <c r="AF196" s="37">
        <v>1873</v>
      </c>
      <c r="AG196" s="80" t="s">
        <v>53</v>
      </c>
      <c r="AH196" s="80" t="s">
        <v>53</v>
      </c>
      <c r="AI196" s="80" t="s">
        <v>53</v>
      </c>
      <c r="AJ196" s="80" t="s">
        <v>53</v>
      </c>
      <c r="AK196" s="37">
        <v>1819</v>
      </c>
      <c r="AL196" s="80" t="s">
        <v>53</v>
      </c>
      <c r="AM196" s="80" t="s">
        <v>53</v>
      </c>
      <c r="AN196" s="80" t="s">
        <v>53</v>
      </c>
      <c r="AO196" s="80" t="s">
        <v>53</v>
      </c>
      <c r="AP196" s="37">
        <v>1900</v>
      </c>
      <c r="AQ196" s="80" t="s">
        <v>53</v>
      </c>
      <c r="AR196" s="80" t="s">
        <v>53</v>
      </c>
      <c r="AS196" s="80" t="s">
        <v>53</v>
      </c>
      <c r="AT196" s="80" t="s">
        <v>53</v>
      </c>
      <c r="AU196" s="37">
        <v>2054</v>
      </c>
      <c r="AV196" s="80" t="s">
        <v>53</v>
      </c>
      <c r="AW196" s="80" t="s">
        <v>53</v>
      </c>
      <c r="AX196" s="80" t="s">
        <v>53</v>
      </c>
      <c r="AY196" s="80" t="s">
        <v>53</v>
      </c>
      <c r="AZ196" s="37">
        <v>2012</v>
      </c>
      <c r="BA196" s="80" t="s">
        <v>53</v>
      </c>
    </row>
    <row r="197" spans="1:53" ht="11.25" customHeight="1">
      <c r="A197" s="71" t="s">
        <v>144</v>
      </c>
      <c r="B197" s="24"/>
      <c r="C197" s="73"/>
      <c r="D197" s="73"/>
      <c r="E197" s="73"/>
      <c r="F197" s="73"/>
      <c r="G197" s="24">
        <f>G196/G175</f>
        <v>0.46622865598567986</v>
      </c>
      <c r="H197" s="73"/>
      <c r="I197" s="73"/>
      <c r="J197" s="73"/>
      <c r="K197" s="73"/>
      <c r="L197" s="24">
        <f>L196/L175</f>
        <v>0.4031680181029606</v>
      </c>
      <c r="M197" s="73"/>
      <c r="N197" s="73"/>
      <c r="O197" s="73"/>
      <c r="P197" s="73"/>
      <c r="Q197" s="24">
        <f>Q196/Q175</f>
        <v>0.40547216416492493</v>
      </c>
      <c r="R197" s="73"/>
      <c r="S197" s="73"/>
      <c r="T197" s="73"/>
      <c r="U197" s="73"/>
      <c r="V197" s="24">
        <f>V196/V175</f>
        <v>0.40253872633390708</v>
      </c>
      <c r="W197" s="73"/>
      <c r="X197" s="73"/>
      <c r="Y197" s="73"/>
      <c r="Z197" s="73"/>
      <c r="AA197" s="24">
        <f>AA196/AA175</f>
        <v>0.41339092872570193</v>
      </c>
      <c r="AB197" s="73"/>
      <c r="AC197" s="73"/>
      <c r="AD197" s="73"/>
      <c r="AE197" s="73"/>
      <c r="AF197" s="24">
        <f>AF196/AF175</f>
        <v>0.41826708351942832</v>
      </c>
      <c r="AG197" s="73"/>
      <c r="AH197" s="73"/>
      <c r="AI197" s="73"/>
      <c r="AJ197" s="73"/>
      <c r="AK197" s="24">
        <v>0.42135742413713229</v>
      </c>
      <c r="AL197" s="73"/>
      <c r="AM197" s="73"/>
      <c r="AN197" s="73"/>
      <c r="AO197" s="73"/>
      <c r="AP197" s="24">
        <v>0.43113228953936916</v>
      </c>
      <c r="AQ197" s="73"/>
      <c r="AR197" s="73"/>
      <c r="AS197" s="73"/>
      <c r="AT197" s="73"/>
      <c r="AU197" s="24">
        <v>0.46862879306411132</v>
      </c>
      <c r="AV197" s="73"/>
      <c r="AW197" s="73"/>
      <c r="AX197" s="73"/>
      <c r="AY197" s="73"/>
      <c r="AZ197" s="24">
        <v>0.47408105560791708</v>
      </c>
      <c r="BA197" s="73"/>
    </row>
    <row r="198" spans="1:53">
      <c r="A198" s="40" t="s">
        <v>80</v>
      </c>
      <c r="B198" s="41"/>
      <c r="C198" s="42"/>
      <c r="D198" s="42"/>
      <c r="E198" s="42"/>
      <c r="F198" s="42"/>
      <c r="G198" s="41"/>
      <c r="H198" s="42"/>
      <c r="I198" s="42"/>
      <c r="J198" s="42"/>
      <c r="K198" s="42"/>
      <c r="L198" s="41"/>
      <c r="M198" s="42"/>
      <c r="N198" s="42"/>
      <c r="O198" s="42"/>
      <c r="P198" s="42"/>
      <c r="Q198" s="41"/>
      <c r="R198" s="42"/>
      <c r="S198" s="42"/>
      <c r="T198" s="42"/>
      <c r="U198" s="42"/>
      <c r="V198" s="41"/>
      <c r="W198" s="42"/>
      <c r="X198" s="42"/>
      <c r="Y198" s="42"/>
      <c r="Z198" s="42"/>
      <c r="AA198" s="41"/>
      <c r="AB198" s="42"/>
      <c r="AC198" s="42"/>
      <c r="AD198" s="42"/>
      <c r="AE198" s="42"/>
      <c r="AF198" s="41"/>
      <c r="AG198" s="42"/>
      <c r="AH198" s="42"/>
      <c r="AI198" s="42"/>
      <c r="AJ198" s="42"/>
      <c r="AK198" s="41"/>
      <c r="AL198" s="42"/>
      <c r="AM198" s="42"/>
      <c r="AN198" s="42"/>
      <c r="AO198" s="42"/>
      <c r="AP198" s="41"/>
      <c r="AQ198" s="42"/>
      <c r="AR198" s="42"/>
      <c r="AS198" s="42"/>
      <c r="AT198" s="42"/>
      <c r="AU198" s="41"/>
      <c r="AV198" s="42"/>
      <c r="AW198" s="42"/>
      <c r="AX198" s="42"/>
      <c r="AY198" s="42"/>
      <c r="AZ198" s="41"/>
      <c r="BA198" s="42"/>
    </row>
    <row r="199" spans="1:53" s="36" customFormat="1">
      <c r="A199" s="69" t="s">
        <v>11</v>
      </c>
      <c r="B199" s="37">
        <v>941</v>
      </c>
      <c r="C199" s="70">
        <v>218</v>
      </c>
      <c r="D199" s="70">
        <v>211</v>
      </c>
      <c r="E199" s="70">
        <v>214</v>
      </c>
      <c r="F199" s="70">
        <f>G199-E199-D199-C199</f>
        <v>209</v>
      </c>
      <c r="G199" s="37">
        <v>852</v>
      </c>
      <c r="H199" s="70">
        <v>211</v>
      </c>
      <c r="I199" s="70">
        <v>205</v>
      </c>
      <c r="J199" s="70">
        <v>184</v>
      </c>
      <c r="K199" s="70">
        <f>L199-J199-I199-H199</f>
        <v>194</v>
      </c>
      <c r="L199" s="37">
        <v>794</v>
      </c>
      <c r="M199" s="70">
        <v>170</v>
      </c>
      <c r="N199" s="70">
        <v>171</v>
      </c>
      <c r="O199" s="70">
        <v>171</v>
      </c>
      <c r="P199" s="70">
        <f>Q199-O199-N199-M199</f>
        <v>178</v>
      </c>
      <c r="Q199" s="37">
        <v>690</v>
      </c>
      <c r="R199" s="70">
        <v>162</v>
      </c>
      <c r="S199" s="70">
        <v>171</v>
      </c>
      <c r="T199" s="70">
        <v>180</v>
      </c>
      <c r="U199" s="70">
        <f>V199-T199-S199-R199</f>
        <v>175</v>
      </c>
      <c r="V199" s="37">
        <v>688</v>
      </c>
      <c r="W199" s="70">
        <v>178</v>
      </c>
      <c r="X199" s="70">
        <v>178</v>
      </c>
      <c r="Y199" s="70">
        <v>185</v>
      </c>
      <c r="Z199" s="70">
        <f>AA199-Y199-X199-W199</f>
        <v>189</v>
      </c>
      <c r="AA199" s="37">
        <v>730</v>
      </c>
      <c r="AB199" s="70">
        <v>167</v>
      </c>
      <c r="AC199" s="70">
        <v>168</v>
      </c>
      <c r="AD199" s="70">
        <v>174</v>
      </c>
      <c r="AE199" s="70">
        <f>AF199-AD199-AC199-AB199</f>
        <v>174</v>
      </c>
      <c r="AF199" s="37">
        <v>683</v>
      </c>
      <c r="AG199" s="70">
        <v>168</v>
      </c>
      <c r="AH199" s="70">
        <v>172</v>
      </c>
      <c r="AI199" s="70">
        <v>178</v>
      </c>
      <c r="AJ199" s="70">
        <f>AK199-AI199-AH199-AG199</f>
        <v>170</v>
      </c>
      <c r="AK199" s="37">
        <v>688</v>
      </c>
      <c r="AL199" s="70">
        <v>176</v>
      </c>
      <c r="AM199" s="70">
        <v>180</v>
      </c>
      <c r="AN199" s="70">
        <v>184</v>
      </c>
      <c r="AO199" s="70">
        <v>185</v>
      </c>
      <c r="AP199" s="37">
        <v>725</v>
      </c>
      <c r="AQ199" s="70">
        <v>183</v>
      </c>
      <c r="AR199" s="70">
        <v>185</v>
      </c>
      <c r="AS199" s="70">
        <v>188</v>
      </c>
      <c r="AT199" s="70">
        <v>161</v>
      </c>
      <c r="AU199" s="37">
        <v>717</v>
      </c>
      <c r="AV199" s="70">
        <v>180</v>
      </c>
      <c r="AW199" s="70">
        <v>177</v>
      </c>
      <c r="AX199" s="70">
        <v>186</v>
      </c>
      <c r="AY199" s="70">
        <v>185</v>
      </c>
      <c r="AZ199" s="37">
        <v>728</v>
      </c>
      <c r="BA199" s="70">
        <v>204</v>
      </c>
    </row>
    <row r="200" spans="1:53" ht="9.75" customHeight="1">
      <c r="A200" s="71" t="s">
        <v>7</v>
      </c>
      <c r="B200" s="24"/>
      <c r="C200" s="72"/>
      <c r="D200" s="72">
        <f>D199/C199-1</f>
        <v>-3.2110091743119296E-2</v>
      </c>
      <c r="E200" s="72">
        <f>E199/D199-1</f>
        <v>1.4218009478673022E-2</v>
      </c>
      <c r="F200" s="72">
        <f>F199/E199-1</f>
        <v>-2.3364485981308358E-2</v>
      </c>
      <c r="G200" s="24"/>
      <c r="H200" s="72">
        <f>H199/F199-1</f>
        <v>9.5693779904306719E-3</v>
      </c>
      <c r="I200" s="72">
        <f>I199/H199-1</f>
        <v>-2.8436018957345932E-2</v>
      </c>
      <c r="J200" s="72">
        <f>J199/I199-1</f>
        <v>-0.10243902439024388</v>
      </c>
      <c r="K200" s="72">
        <f>K199/J199-1</f>
        <v>5.4347826086956541E-2</v>
      </c>
      <c r="L200" s="24"/>
      <c r="M200" s="72">
        <f>M199/K199-1</f>
        <v>-0.12371134020618557</v>
      </c>
      <c r="N200" s="72">
        <f>N199/M199-1</f>
        <v>5.8823529411764497E-3</v>
      </c>
      <c r="O200" s="72">
        <f>O199/N199-1</f>
        <v>0</v>
      </c>
      <c r="P200" s="72">
        <f>P199/O199-1</f>
        <v>4.0935672514619936E-2</v>
      </c>
      <c r="Q200" s="24"/>
      <c r="R200" s="72">
        <f>R199/P199-1</f>
        <v>-8.98876404494382E-2</v>
      </c>
      <c r="S200" s="72">
        <f>S199/R199-1</f>
        <v>5.555555555555558E-2</v>
      </c>
      <c r="T200" s="72">
        <f>T199/S199-1</f>
        <v>5.2631578947368363E-2</v>
      </c>
      <c r="U200" s="72">
        <f>U199/T199-1</f>
        <v>-2.777777777777779E-2</v>
      </c>
      <c r="V200" s="24"/>
      <c r="W200" s="72">
        <f>W199/U199-1</f>
        <v>1.7142857142857126E-2</v>
      </c>
      <c r="X200" s="72">
        <f>X199/W199-1</f>
        <v>0</v>
      </c>
      <c r="Y200" s="72">
        <f>Y199/X199-1</f>
        <v>3.9325842696629199E-2</v>
      </c>
      <c r="Z200" s="72">
        <f>Z199/Y199-1</f>
        <v>2.1621621621621623E-2</v>
      </c>
      <c r="AA200" s="24"/>
      <c r="AB200" s="72">
        <f>AB199/Z199-1</f>
        <v>-0.1164021164021164</v>
      </c>
      <c r="AC200" s="72">
        <f>AC199/AB199-1</f>
        <v>5.9880239520957446E-3</v>
      </c>
      <c r="AD200" s="72">
        <f>AD199/AC199-1</f>
        <v>3.5714285714285809E-2</v>
      </c>
      <c r="AE200" s="72">
        <f>AE199/AD199-1</f>
        <v>0</v>
      </c>
      <c r="AF200" s="24"/>
      <c r="AG200" s="72">
        <f>AG199/AE199-1</f>
        <v>-3.4482758620689613E-2</v>
      </c>
      <c r="AH200" s="72">
        <f>AH199/AG199-1</f>
        <v>2.3809523809523725E-2</v>
      </c>
      <c r="AI200" s="72">
        <f>AI199/AH199-1</f>
        <v>3.488372093023262E-2</v>
      </c>
      <c r="AJ200" s="72">
        <f>AJ199/AI199-1</f>
        <v>-4.49438202247191E-2</v>
      </c>
      <c r="AK200" s="24"/>
      <c r="AL200" s="72">
        <v>3.529411764705892E-2</v>
      </c>
      <c r="AM200" s="72">
        <v>2.2727272727272707E-2</v>
      </c>
      <c r="AN200" s="72">
        <v>2.2222222222222143E-2</v>
      </c>
      <c r="AO200" s="72">
        <v>5.4347826086955653E-3</v>
      </c>
      <c r="AP200" s="24"/>
      <c r="AQ200" s="72">
        <v>-1.0810810810810811E-2</v>
      </c>
      <c r="AR200" s="72">
        <v>1.0928961748633892E-2</v>
      </c>
      <c r="AS200" s="72">
        <v>1.6216216216216273E-2</v>
      </c>
      <c r="AT200" s="72">
        <v>-0.1436170212765957</v>
      </c>
      <c r="AU200" s="24"/>
      <c r="AV200" s="72">
        <v>0.11801242236024834</v>
      </c>
      <c r="AW200" s="72">
        <v>-1.6666666666666718E-2</v>
      </c>
      <c r="AX200" s="72">
        <v>5.0847457627118731E-2</v>
      </c>
      <c r="AY200" s="72">
        <v>-5.3763440860215006E-3</v>
      </c>
      <c r="AZ200" s="24"/>
      <c r="BA200" s="72">
        <v>0.10270270270270276</v>
      </c>
    </row>
    <row r="201" spans="1:53" ht="10.5" customHeight="1">
      <c r="A201" s="71" t="s">
        <v>8</v>
      </c>
      <c r="B201" s="24"/>
      <c r="C201" s="73"/>
      <c r="D201" s="73"/>
      <c r="E201" s="73"/>
      <c r="F201" s="73"/>
      <c r="G201" s="24">
        <f t="shared" ref="G201:N201" si="176">G199/B199-1</f>
        <v>-9.4580233793836399E-2</v>
      </c>
      <c r="H201" s="73">
        <f t="shared" si="176"/>
        <v>-3.2110091743119296E-2</v>
      </c>
      <c r="I201" s="73">
        <f t="shared" si="176"/>
        <v>-2.8436018957345932E-2</v>
      </c>
      <c r="J201" s="73">
        <f t="shared" si="176"/>
        <v>-0.14018691588785048</v>
      </c>
      <c r="K201" s="73">
        <f t="shared" si="176"/>
        <v>-7.1770334928229707E-2</v>
      </c>
      <c r="L201" s="24">
        <f t="shared" si="176"/>
        <v>-6.8075117370892002E-2</v>
      </c>
      <c r="M201" s="73">
        <f t="shared" si="176"/>
        <v>-0.19431279620853081</v>
      </c>
      <c r="N201" s="73">
        <f t="shared" si="176"/>
        <v>-0.1658536585365854</v>
      </c>
      <c r="O201" s="73">
        <f t="shared" ref="O201:Y201" si="177">O199/J199-1</f>
        <v>-7.0652173913043459E-2</v>
      </c>
      <c r="P201" s="73">
        <f t="shared" si="177"/>
        <v>-8.2474226804123751E-2</v>
      </c>
      <c r="Q201" s="24">
        <f t="shared" si="177"/>
        <v>-0.13098236775818639</v>
      </c>
      <c r="R201" s="73">
        <f t="shared" si="177"/>
        <v>-4.705882352941182E-2</v>
      </c>
      <c r="S201" s="73">
        <f t="shared" si="177"/>
        <v>0</v>
      </c>
      <c r="T201" s="73">
        <f t="shared" si="177"/>
        <v>5.2631578947368363E-2</v>
      </c>
      <c r="U201" s="73">
        <f t="shared" si="177"/>
        <v>-1.6853932584269704E-2</v>
      </c>
      <c r="V201" s="24">
        <f t="shared" si="177"/>
        <v>-2.8985507246376274E-3</v>
      </c>
      <c r="W201" s="73">
        <f t="shared" si="177"/>
        <v>9.8765432098765427E-2</v>
      </c>
      <c r="X201" s="73">
        <f t="shared" si="177"/>
        <v>4.0935672514619936E-2</v>
      </c>
      <c r="Y201" s="73">
        <f t="shared" si="177"/>
        <v>2.7777777777777679E-2</v>
      </c>
      <c r="Z201" s="73">
        <f t="shared" ref="Z201:AI201" si="178">Z199/U199-1</f>
        <v>8.0000000000000071E-2</v>
      </c>
      <c r="AA201" s="24">
        <f t="shared" si="178"/>
        <v>6.1046511627907085E-2</v>
      </c>
      <c r="AB201" s="73">
        <f t="shared" si="178"/>
        <v>-6.1797752808988804E-2</v>
      </c>
      <c r="AC201" s="73">
        <f t="shared" si="178"/>
        <v>-5.6179775280898903E-2</v>
      </c>
      <c r="AD201" s="73">
        <f t="shared" si="178"/>
        <v>-5.9459459459459407E-2</v>
      </c>
      <c r="AE201" s="73">
        <f t="shared" si="178"/>
        <v>-7.9365079365079416E-2</v>
      </c>
      <c r="AF201" s="24">
        <f t="shared" si="178"/>
        <v>-6.438356164383563E-2</v>
      </c>
      <c r="AG201" s="73">
        <f t="shared" si="178"/>
        <v>5.9880239520957446E-3</v>
      </c>
      <c r="AH201" s="73">
        <f t="shared" si="178"/>
        <v>2.3809523809523725E-2</v>
      </c>
      <c r="AI201" s="73">
        <f t="shared" si="178"/>
        <v>2.2988505747126409E-2</v>
      </c>
      <c r="AJ201" s="73">
        <f t="shared" ref="AJ201:AS201" si="179">AJ199/AE199-1</f>
        <v>-2.2988505747126409E-2</v>
      </c>
      <c r="AK201" s="24">
        <v>7.3206442166910968E-3</v>
      </c>
      <c r="AL201" s="73">
        <v>4.7619047619047672E-2</v>
      </c>
      <c r="AM201" s="73">
        <v>4.6511627906976827E-2</v>
      </c>
      <c r="AN201" s="73">
        <v>3.3707865168539408E-2</v>
      </c>
      <c r="AO201" s="73">
        <v>8.8235294117646967E-2</v>
      </c>
      <c r="AP201" s="24">
        <v>5.3779069767441845E-2</v>
      </c>
      <c r="AQ201" s="73">
        <v>3.9772727272727293E-2</v>
      </c>
      <c r="AR201" s="73">
        <v>2.7777777777777679E-2</v>
      </c>
      <c r="AS201" s="73">
        <v>2.1739130434782705E-2</v>
      </c>
      <c r="AT201" s="73">
        <v>-0.12972972972972974</v>
      </c>
      <c r="AU201" s="24">
        <v>-1.1034482758620734E-2</v>
      </c>
      <c r="AV201" s="73">
        <v>-1.6393442622950838E-2</v>
      </c>
      <c r="AW201" s="73">
        <v>-4.3243243243243246E-2</v>
      </c>
      <c r="AX201" s="73">
        <v>-1.0638297872340385E-2</v>
      </c>
      <c r="AY201" s="73">
        <v>0.14906832298136652</v>
      </c>
      <c r="AZ201" s="24">
        <v>1.5341701534170138E-2</v>
      </c>
      <c r="BA201" s="73">
        <v>0.1333333333333333</v>
      </c>
    </row>
    <row r="202" spans="1:53" ht="11.25" customHeight="1">
      <c r="A202" s="69" t="s">
        <v>101</v>
      </c>
      <c r="B202" s="37">
        <v>1293</v>
      </c>
      <c r="C202" s="80" t="s">
        <v>53</v>
      </c>
      <c r="D202" s="80" t="s">
        <v>53</v>
      </c>
      <c r="E202" s="80" t="s">
        <v>53</v>
      </c>
      <c r="F202" s="80" t="s">
        <v>53</v>
      </c>
      <c r="G202" s="37">
        <v>1202</v>
      </c>
      <c r="H202" s="70">
        <v>278</v>
      </c>
      <c r="I202" s="70">
        <v>264</v>
      </c>
      <c r="J202" s="70">
        <v>255</v>
      </c>
      <c r="K202" s="70">
        <f>L202-J202-I202-H202</f>
        <v>297</v>
      </c>
      <c r="L202" s="37">
        <v>1094</v>
      </c>
      <c r="M202" s="70">
        <v>277</v>
      </c>
      <c r="N202" s="70">
        <v>250</v>
      </c>
      <c r="O202" s="70">
        <v>256</v>
      </c>
      <c r="P202" s="70">
        <f>Q202-O202-N202-M202</f>
        <v>296</v>
      </c>
      <c r="Q202" s="37">
        <v>1079</v>
      </c>
      <c r="R202" s="70">
        <v>284</v>
      </c>
      <c r="S202" s="70">
        <v>291</v>
      </c>
      <c r="T202" s="70">
        <v>284</v>
      </c>
      <c r="U202" s="70">
        <f>V202-T202-S202-R202</f>
        <v>217</v>
      </c>
      <c r="V202" s="37">
        <v>1076</v>
      </c>
      <c r="W202" s="70">
        <v>267</v>
      </c>
      <c r="X202" s="70">
        <v>267</v>
      </c>
      <c r="Y202" s="70">
        <v>274</v>
      </c>
      <c r="Z202" s="70">
        <f>AA202-Y202-X202-W202</f>
        <v>228</v>
      </c>
      <c r="AA202" s="37">
        <v>1036</v>
      </c>
      <c r="AB202" s="70">
        <v>270</v>
      </c>
      <c r="AC202" s="70">
        <v>242</v>
      </c>
      <c r="AD202" s="70">
        <v>243</v>
      </c>
      <c r="AE202" s="70">
        <f>AF202-AD202-AC202-AB202</f>
        <v>225</v>
      </c>
      <c r="AF202" s="37">
        <v>980</v>
      </c>
      <c r="AG202" s="70">
        <v>223</v>
      </c>
      <c r="AH202" s="70">
        <v>228</v>
      </c>
      <c r="AI202" s="70">
        <v>227</v>
      </c>
      <c r="AJ202" s="70">
        <f>AK202-AI202-AH202-AG202</f>
        <v>217</v>
      </c>
      <c r="AK202" s="37">
        <v>895</v>
      </c>
      <c r="AL202" s="70">
        <v>227</v>
      </c>
      <c r="AM202" s="70">
        <v>226</v>
      </c>
      <c r="AN202" s="70">
        <v>232</v>
      </c>
      <c r="AO202" s="70">
        <v>227</v>
      </c>
      <c r="AP202" s="37">
        <v>912</v>
      </c>
      <c r="AQ202" s="70">
        <v>230</v>
      </c>
      <c r="AR202" s="70">
        <v>217</v>
      </c>
      <c r="AS202" s="70">
        <v>225</v>
      </c>
      <c r="AT202" s="70">
        <v>226</v>
      </c>
      <c r="AU202" s="37">
        <v>898</v>
      </c>
      <c r="AV202" s="70">
        <v>224</v>
      </c>
      <c r="AW202" s="70">
        <v>220</v>
      </c>
      <c r="AX202" s="70">
        <v>224</v>
      </c>
      <c r="AY202" s="70">
        <v>223</v>
      </c>
      <c r="AZ202" s="37">
        <v>891</v>
      </c>
      <c r="BA202" s="70">
        <v>228</v>
      </c>
    </row>
    <row r="203" spans="1:53" ht="11.25" customHeight="1">
      <c r="A203" s="71" t="s">
        <v>7</v>
      </c>
      <c r="B203" s="24"/>
      <c r="C203" s="73"/>
      <c r="D203" s="73"/>
      <c r="E203" s="73"/>
      <c r="F203" s="73"/>
      <c r="G203" s="24"/>
      <c r="H203" s="72"/>
      <c r="I203" s="72">
        <f>I202/H202-1</f>
        <v>-5.0359712230215847E-2</v>
      </c>
      <c r="J203" s="72">
        <f>J202/I202-1</f>
        <v>-3.4090909090909061E-2</v>
      </c>
      <c r="K203" s="72">
        <f>K202/J202-1</f>
        <v>0.16470588235294126</v>
      </c>
      <c r="L203" s="24"/>
      <c r="M203" s="72">
        <f>M202/K202-1</f>
        <v>-6.7340067340067367E-2</v>
      </c>
      <c r="N203" s="72">
        <f>N202/M202-1</f>
        <v>-9.7472924187725685E-2</v>
      </c>
      <c r="O203" s="72">
        <f>O202/N202-1</f>
        <v>2.4000000000000021E-2</v>
      </c>
      <c r="P203" s="72">
        <f>P202/O202-1</f>
        <v>0.15625</v>
      </c>
      <c r="Q203" s="24"/>
      <c r="R203" s="72">
        <f>R202/P202-1</f>
        <v>-4.0540540540540571E-2</v>
      </c>
      <c r="S203" s="72">
        <f>S202/R202-1</f>
        <v>2.464788732394374E-2</v>
      </c>
      <c r="T203" s="72">
        <f>T202/S202-1</f>
        <v>-2.4054982817869441E-2</v>
      </c>
      <c r="U203" s="72">
        <f>U202/T202-1</f>
        <v>-0.2359154929577465</v>
      </c>
      <c r="V203" s="24"/>
      <c r="W203" s="72">
        <f>W202/U202-1</f>
        <v>0.23041474654377869</v>
      </c>
      <c r="X203" s="72">
        <f>X202/W202-1</f>
        <v>0</v>
      </c>
      <c r="Y203" s="72">
        <f>Y202/X202-1</f>
        <v>2.621722846441954E-2</v>
      </c>
      <c r="Z203" s="72">
        <f>Z202/Y202-1</f>
        <v>-0.16788321167883213</v>
      </c>
      <c r="AA203" s="24"/>
      <c r="AB203" s="72">
        <f>AB202/Z202-1</f>
        <v>0.18421052631578938</v>
      </c>
      <c r="AC203" s="72">
        <f>AC202/AB202-1</f>
        <v>-0.10370370370370374</v>
      </c>
      <c r="AD203" s="72">
        <f>AD202/AC202-1</f>
        <v>4.1322314049587749E-3</v>
      </c>
      <c r="AE203" s="72">
        <f>AE202/AD202-1</f>
        <v>-7.407407407407407E-2</v>
      </c>
      <c r="AF203" s="24"/>
      <c r="AG203" s="72">
        <f>AG202/AE202-1</f>
        <v>-8.8888888888888351E-3</v>
      </c>
      <c r="AH203" s="72">
        <f>AH202/AG202-1</f>
        <v>2.2421524663677195E-2</v>
      </c>
      <c r="AI203" s="72">
        <f>AI202/AH202-1</f>
        <v>-4.3859649122807154E-3</v>
      </c>
      <c r="AJ203" s="72">
        <f>AJ202/AI202-1</f>
        <v>-4.4052863436123357E-2</v>
      </c>
      <c r="AK203" s="24"/>
      <c r="AL203" s="72">
        <v>4.6082949308755783E-2</v>
      </c>
      <c r="AM203" s="72">
        <v>-4.405286343612369E-3</v>
      </c>
      <c r="AN203" s="72">
        <v>2.6548672566371723E-2</v>
      </c>
      <c r="AO203" s="72">
        <v>-2.155172413793105E-2</v>
      </c>
      <c r="AP203" s="24"/>
      <c r="AQ203" s="72">
        <v>1.3215859030837107E-2</v>
      </c>
      <c r="AR203" s="72">
        <v>-5.6521739130434789E-2</v>
      </c>
      <c r="AS203" s="72">
        <v>3.6866359447004671E-2</v>
      </c>
      <c r="AT203" s="72">
        <v>4.4444444444444731E-3</v>
      </c>
      <c r="AU203" s="24"/>
      <c r="AV203" s="72">
        <v>-8.8495575221239076E-3</v>
      </c>
      <c r="AW203" s="72">
        <v>-1.7857142857142905E-2</v>
      </c>
      <c r="AX203" s="72">
        <v>1.8181818181818077E-2</v>
      </c>
      <c r="AY203" s="72">
        <v>-4.4642857142856984E-3</v>
      </c>
      <c r="AZ203" s="24"/>
      <c r="BA203" s="72">
        <v>2.2421524663677195E-2</v>
      </c>
    </row>
    <row r="204" spans="1:53" ht="10.5" customHeight="1">
      <c r="A204" s="71" t="s">
        <v>8</v>
      </c>
      <c r="B204" s="24"/>
      <c r="C204" s="73"/>
      <c r="D204" s="73"/>
      <c r="E204" s="73"/>
      <c r="F204" s="73"/>
      <c r="G204" s="24">
        <f>G202/B202-1</f>
        <v>-7.0378963650425397E-2</v>
      </c>
      <c r="H204" s="70"/>
      <c r="I204" s="70"/>
      <c r="J204" s="70"/>
      <c r="K204" s="70"/>
      <c r="L204" s="24">
        <f t="shared" ref="L204:Y204" si="180">L202/G202-1</f>
        <v>-8.9850249584026654E-2</v>
      </c>
      <c r="M204" s="73">
        <f t="shared" si="180"/>
        <v>-3.597122302158251E-3</v>
      </c>
      <c r="N204" s="73">
        <f t="shared" si="180"/>
        <v>-5.3030303030302983E-2</v>
      </c>
      <c r="O204" s="73">
        <f t="shared" si="180"/>
        <v>3.9215686274509665E-3</v>
      </c>
      <c r="P204" s="73">
        <f t="shared" si="180"/>
        <v>-3.3670033670033517E-3</v>
      </c>
      <c r="Q204" s="24">
        <f t="shared" si="180"/>
        <v>-1.3711151736745864E-2</v>
      </c>
      <c r="R204" s="73">
        <f t="shared" si="180"/>
        <v>2.5270758122743597E-2</v>
      </c>
      <c r="S204" s="73">
        <f t="shared" si="180"/>
        <v>0.16399999999999992</v>
      </c>
      <c r="T204" s="73">
        <f t="shared" si="180"/>
        <v>0.109375</v>
      </c>
      <c r="U204" s="73">
        <f t="shared" si="180"/>
        <v>-0.26689189189189189</v>
      </c>
      <c r="V204" s="24">
        <f t="shared" si="180"/>
        <v>-2.780352177942591E-3</v>
      </c>
      <c r="W204" s="73">
        <f t="shared" si="180"/>
        <v>-5.9859154929577496E-2</v>
      </c>
      <c r="X204" s="73">
        <f t="shared" si="180"/>
        <v>-8.2474226804123751E-2</v>
      </c>
      <c r="Y204" s="73">
        <f t="shared" si="180"/>
        <v>-3.5211267605633756E-2</v>
      </c>
      <c r="Z204" s="73">
        <f t="shared" ref="Z204:AI204" si="181">Z202/U202-1</f>
        <v>5.0691244239631228E-2</v>
      </c>
      <c r="AA204" s="24">
        <f t="shared" si="181"/>
        <v>-3.7174721189591087E-2</v>
      </c>
      <c r="AB204" s="73">
        <f t="shared" si="181"/>
        <v>1.1235955056179803E-2</v>
      </c>
      <c r="AC204" s="73">
        <f t="shared" si="181"/>
        <v>-9.3632958801498134E-2</v>
      </c>
      <c r="AD204" s="73">
        <f t="shared" si="181"/>
        <v>-0.11313868613138689</v>
      </c>
      <c r="AE204" s="73">
        <f t="shared" si="181"/>
        <v>-1.3157894736842146E-2</v>
      </c>
      <c r="AF204" s="24">
        <f t="shared" si="181"/>
        <v>-5.4054054054054057E-2</v>
      </c>
      <c r="AG204" s="73">
        <f t="shared" si="181"/>
        <v>-0.17407407407407405</v>
      </c>
      <c r="AH204" s="73">
        <f t="shared" si="181"/>
        <v>-5.7851239669421517E-2</v>
      </c>
      <c r="AI204" s="73">
        <f t="shared" si="181"/>
        <v>-6.5843621399176988E-2</v>
      </c>
      <c r="AJ204" s="73">
        <f t="shared" ref="AJ204:AS204" si="182">AJ202/AE202-1</f>
        <v>-3.5555555555555562E-2</v>
      </c>
      <c r="AK204" s="24">
        <v>-8.6734693877551061E-2</v>
      </c>
      <c r="AL204" s="73">
        <v>1.7937219730941756E-2</v>
      </c>
      <c r="AM204" s="73">
        <v>-8.7719298245614308E-3</v>
      </c>
      <c r="AN204" s="73">
        <v>2.2026431718061623E-2</v>
      </c>
      <c r="AO204" s="73">
        <v>4.6082949308755783E-2</v>
      </c>
      <c r="AP204" s="24">
        <v>1.8994413407821265E-2</v>
      </c>
      <c r="AQ204" s="73">
        <v>1.3215859030837107E-2</v>
      </c>
      <c r="AR204" s="73">
        <v>-3.9823008849557473E-2</v>
      </c>
      <c r="AS204" s="73">
        <v>-3.0172413793103425E-2</v>
      </c>
      <c r="AT204" s="73">
        <v>-4.405286343612369E-3</v>
      </c>
      <c r="AU204" s="24">
        <v>-1.5350877192982448E-2</v>
      </c>
      <c r="AV204" s="73">
        <v>-2.6086956521739091E-2</v>
      </c>
      <c r="AW204" s="73">
        <v>1.3824884792626779E-2</v>
      </c>
      <c r="AX204" s="73">
        <v>-4.4444444444444731E-3</v>
      </c>
      <c r="AY204" s="73">
        <v>-1.3274336283185861E-2</v>
      </c>
      <c r="AZ204" s="24">
        <v>-7.7951002227171218E-3</v>
      </c>
      <c r="BA204" s="73">
        <v>1.7857142857142794E-2</v>
      </c>
    </row>
    <row r="205" spans="1:53" ht="10.5" customHeight="1">
      <c r="A205" s="69" t="s">
        <v>106</v>
      </c>
      <c r="B205" s="37">
        <v>39</v>
      </c>
      <c r="C205" s="80" t="s">
        <v>53</v>
      </c>
      <c r="D205" s="80" t="s">
        <v>53</v>
      </c>
      <c r="E205" s="80" t="s">
        <v>53</v>
      </c>
      <c r="F205" s="80" t="s">
        <v>53</v>
      </c>
      <c r="G205" s="37">
        <v>96</v>
      </c>
      <c r="H205" s="186">
        <v>-20</v>
      </c>
      <c r="I205" s="186">
        <v>4</v>
      </c>
      <c r="J205" s="186">
        <v>-38</v>
      </c>
      <c r="K205" s="186">
        <f>L205-J205-I205-H205</f>
        <v>256</v>
      </c>
      <c r="L205" s="37">
        <v>202</v>
      </c>
      <c r="M205" s="186">
        <v>-25</v>
      </c>
      <c r="N205" s="186">
        <v>-13</v>
      </c>
      <c r="O205" s="186">
        <v>-59</v>
      </c>
      <c r="P205" s="186">
        <f>Q205-O205-N205-M205</f>
        <v>-61</v>
      </c>
      <c r="Q205" s="178">
        <v>-158</v>
      </c>
      <c r="R205" s="186">
        <v>250</v>
      </c>
      <c r="S205" s="186">
        <v>-62</v>
      </c>
      <c r="T205" s="186">
        <v>-106</v>
      </c>
      <c r="U205" s="186">
        <f>V205-T205-S205-R205</f>
        <v>57</v>
      </c>
      <c r="V205" s="37">
        <v>139</v>
      </c>
      <c r="W205" s="186">
        <v>-22</v>
      </c>
      <c r="X205" s="186">
        <v>16</v>
      </c>
      <c r="Y205" s="186">
        <v>-7</v>
      </c>
      <c r="Z205" s="186">
        <f>AA205-Y205-X205-W205</f>
        <v>-115</v>
      </c>
      <c r="AA205" s="178">
        <v>-128</v>
      </c>
      <c r="AB205" s="186">
        <v>-73</v>
      </c>
      <c r="AC205" s="186">
        <v>-17</v>
      </c>
      <c r="AD205" s="186">
        <v>-8</v>
      </c>
      <c r="AE205" s="186">
        <f>AF205-AD205-AC205-AB205</f>
        <v>20</v>
      </c>
      <c r="AF205" s="178">
        <v>-78</v>
      </c>
      <c r="AG205" s="186">
        <v>-8</v>
      </c>
      <c r="AH205" s="186">
        <v>14</v>
      </c>
      <c r="AI205" s="186">
        <v>-25</v>
      </c>
      <c r="AJ205" s="186">
        <f>AK205-AI205-AH205-AG205</f>
        <v>-4</v>
      </c>
      <c r="AK205" s="178">
        <v>-23</v>
      </c>
      <c r="AL205" s="186">
        <v>-17</v>
      </c>
      <c r="AM205" s="186">
        <v>-139</v>
      </c>
      <c r="AN205" s="186">
        <v>-13</v>
      </c>
      <c r="AO205" s="186">
        <v>70</v>
      </c>
      <c r="AP205" s="178">
        <v>-99</v>
      </c>
      <c r="AQ205" s="186">
        <v>-9</v>
      </c>
      <c r="AR205" s="186">
        <v>-12</v>
      </c>
      <c r="AS205" s="186">
        <v>-26</v>
      </c>
      <c r="AT205" s="186">
        <v>34</v>
      </c>
      <c r="AU205" s="178">
        <v>-13</v>
      </c>
      <c r="AV205" s="186">
        <v>-4</v>
      </c>
      <c r="AW205" s="186">
        <v>-1</v>
      </c>
      <c r="AX205" s="186">
        <v>-24</v>
      </c>
      <c r="AY205" s="186">
        <v>6</v>
      </c>
      <c r="AZ205" s="178">
        <v>-23</v>
      </c>
      <c r="BA205" s="186">
        <v>18</v>
      </c>
    </row>
    <row r="206" spans="1:53" ht="11.25" customHeight="1">
      <c r="A206" s="71" t="s">
        <v>7</v>
      </c>
      <c r="B206" s="24"/>
      <c r="C206" s="73"/>
      <c r="D206" s="73"/>
      <c r="E206" s="73"/>
      <c r="F206" s="73"/>
      <c r="G206" s="24"/>
      <c r="H206" s="72"/>
      <c r="I206" s="83" t="s">
        <v>44</v>
      </c>
      <c r="J206" s="83" t="s">
        <v>44</v>
      </c>
      <c r="K206" s="83" t="s">
        <v>44</v>
      </c>
      <c r="L206" s="24"/>
      <c r="M206" s="83" t="s">
        <v>44</v>
      </c>
      <c r="N206" s="72">
        <f>N205/M205-1</f>
        <v>-0.48</v>
      </c>
      <c r="O206" s="72">
        <f>O205/N205-1</f>
        <v>3.5384615384615383</v>
      </c>
      <c r="P206" s="72">
        <f>P205/O205-1</f>
        <v>3.3898305084745672E-2</v>
      </c>
      <c r="Q206" s="24"/>
      <c r="R206" s="83" t="s">
        <v>44</v>
      </c>
      <c r="S206" s="83" t="s">
        <v>44</v>
      </c>
      <c r="T206" s="72">
        <f>T205/S205-1</f>
        <v>0.70967741935483875</v>
      </c>
      <c r="U206" s="83" t="s">
        <v>44</v>
      </c>
      <c r="V206" s="24"/>
      <c r="W206" s="83" t="s">
        <v>44</v>
      </c>
      <c r="X206" s="83" t="s">
        <v>44</v>
      </c>
      <c r="Y206" s="83" t="s">
        <v>44</v>
      </c>
      <c r="Z206" s="72">
        <f>Z205/Y205-1</f>
        <v>15.428571428571427</v>
      </c>
      <c r="AA206" s="24"/>
      <c r="AB206" s="72">
        <f>AB205/Z205-1</f>
        <v>-0.36521739130434783</v>
      </c>
      <c r="AC206" s="72">
        <f>AC205/AB205-1</f>
        <v>-0.76712328767123283</v>
      </c>
      <c r="AD206" s="72">
        <f>AD205/AC205-1</f>
        <v>-0.52941176470588236</v>
      </c>
      <c r="AE206" s="83" t="s">
        <v>44</v>
      </c>
      <c r="AF206" s="24"/>
      <c r="AG206" s="83" t="s">
        <v>44</v>
      </c>
      <c r="AH206" s="72">
        <f>AH205/AG205-1</f>
        <v>-2.75</v>
      </c>
      <c r="AI206" s="83" t="s">
        <v>44</v>
      </c>
      <c r="AJ206" s="83" t="s">
        <v>44</v>
      </c>
      <c r="AK206" s="24"/>
      <c r="AL206" s="83" t="s">
        <v>44</v>
      </c>
      <c r="AM206" s="72">
        <v>7.1764705882352935</v>
      </c>
      <c r="AN206" s="72">
        <v>-0.90647482014388492</v>
      </c>
      <c r="AO206" s="83" t="s">
        <v>44</v>
      </c>
      <c r="AP206" s="24"/>
      <c r="AQ206" s="83" t="s">
        <v>44</v>
      </c>
      <c r="AR206" s="72">
        <v>0.33333333333333326</v>
      </c>
      <c r="AS206" s="72">
        <v>1.1666666666666665</v>
      </c>
      <c r="AT206" s="83" t="s">
        <v>44</v>
      </c>
      <c r="AU206" s="24"/>
      <c r="AV206" s="85" t="s">
        <v>44</v>
      </c>
      <c r="AW206" s="72">
        <v>-0.75</v>
      </c>
      <c r="AX206" s="72">
        <v>23</v>
      </c>
      <c r="AY206" s="72">
        <v>-1.25</v>
      </c>
      <c r="AZ206" s="24"/>
      <c r="BA206" s="72">
        <v>2</v>
      </c>
    </row>
    <row r="207" spans="1:53" ht="10.5" customHeight="1">
      <c r="A207" s="71" t="s">
        <v>8</v>
      </c>
      <c r="B207" s="24"/>
      <c r="C207" s="73"/>
      <c r="D207" s="73"/>
      <c r="E207" s="73"/>
      <c r="F207" s="73"/>
      <c r="G207" s="24">
        <f>G205/B205-1</f>
        <v>1.4615384615384617</v>
      </c>
      <c r="H207" s="73"/>
      <c r="I207" s="73"/>
      <c r="J207" s="73"/>
      <c r="K207" s="73"/>
      <c r="L207" s="92" t="s">
        <v>44</v>
      </c>
      <c r="M207" s="73">
        <f>M205/H205-1</f>
        <v>0.25</v>
      </c>
      <c r="N207" s="83" t="s">
        <v>44</v>
      </c>
      <c r="O207" s="73">
        <f>O205/J205-1</f>
        <v>0.55263157894736836</v>
      </c>
      <c r="P207" s="83" t="s">
        <v>44</v>
      </c>
      <c r="Q207" s="92" t="s">
        <v>44</v>
      </c>
      <c r="R207" s="83" t="s">
        <v>44</v>
      </c>
      <c r="S207" s="73">
        <f>S205/N205-1</f>
        <v>3.7692307692307692</v>
      </c>
      <c r="T207" s="73">
        <f>T205/O205-1</f>
        <v>0.79661016949152552</v>
      </c>
      <c r="U207" s="83" t="s">
        <v>44</v>
      </c>
      <c r="V207" s="92" t="s">
        <v>44</v>
      </c>
      <c r="W207" s="83" t="s">
        <v>44</v>
      </c>
      <c r="X207" s="83" t="s">
        <v>44</v>
      </c>
      <c r="Y207" s="73">
        <f>Y205/T205-1</f>
        <v>-0.93396226415094341</v>
      </c>
      <c r="Z207" s="83" t="s">
        <v>44</v>
      </c>
      <c r="AA207" s="92" t="s">
        <v>44</v>
      </c>
      <c r="AB207" s="73">
        <f>AB205/W205-1</f>
        <v>2.3181818181818183</v>
      </c>
      <c r="AC207" s="85" t="s">
        <v>49</v>
      </c>
      <c r="AD207" s="73">
        <f>AD205/Y205-1</f>
        <v>0.14285714285714279</v>
      </c>
      <c r="AE207" s="83" t="s">
        <v>44</v>
      </c>
      <c r="AF207" s="92">
        <f>AF205/AA205-1</f>
        <v>-0.390625</v>
      </c>
      <c r="AG207" s="73">
        <f>AG205/AB205-1</f>
        <v>-0.8904109589041096</v>
      </c>
      <c r="AH207" s="73">
        <f>AH205/AC205-1</f>
        <v>-1.8235294117647058</v>
      </c>
      <c r="AI207" s="73">
        <f>AI205/AD205-1</f>
        <v>2.125</v>
      </c>
      <c r="AJ207" s="83" t="s">
        <v>44</v>
      </c>
      <c r="AK207" s="92">
        <v>-0.70512820512820507</v>
      </c>
      <c r="AL207" s="83" t="s">
        <v>44</v>
      </c>
      <c r="AM207" s="83" t="s">
        <v>44</v>
      </c>
      <c r="AN207" s="73">
        <v>-0.48</v>
      </c>
      <c r="AO207" s="83" t="s">
        <v>44</v>
      </c>
      <c r="AP207" s="92">
        <v>3.3043478260869561</v>
      </c>
      <c r="AQ207" s="73">
        <v>-0.47058823529411764</v>
      </c>
      <c r="AR207" s="73">
        <v>-0.91366906474820142</v>
      </c>
      <c r="AS207" s="73">
        <v>1</v>
      </c>
      <c r="AT207" s="83" t="s">
        <v>44</v>
      </c>
      <c r="AU207" s="92">
        <v>-0.86868686868686873</v>
      </c>
      <c r="AV207" s="73">
        <v>-0.55555555555555558</v>
      </c>
      <c r="AW207" s="73">
        <v>-0.91666666666666663</v>
      </c>
      <c r="AX207" s="73">
        <v>-7.6923076923076872E-2</v>
      </c>
      <c r="AY207" s="73">
        <v>-0.82352941176470584</v>
      </c>
      <c r="AZ207" s="92">
        <v>0.76923076923076916</v>
      </c>
      <c r="BA207" s="85" t="s">
        <v>44</v>
      </c>
    </row>
    <row r="208" spans="1:53" s="36" customFormat="1" ht="10.5" customHeight="1">
      <c r="A208" s="69" t="s">
        <v>43</v>
      </c>
      <c r="B208" s="37">
        <v>1319</v>
      </c>
      <c r="C208" s="70">
        <v>373</v>
      </c>
      <c r="D208" s="70">
        <v>442</v>
      </c>
      <c r="E208" s="70">
        <v>428</v>
      </c>
      <c r="F208" s="70">
        <f>G208-E208-D208-C208</f>
        <v>232</v>
      </c>
      <c r="G208" s="37">
        <v>1475</v>
      </c>
      <c r="H208" s="70">
        <v>437</v>
      </c>
      <c r="I208" s="70">
        <v>434</v>
      </c>
      <c r="J208" s="70">
        <v>491</v>
      </c>
      <c r="K208" s="70">
        <f>L208-J208-I208-H208</f>
        <v>161</v>
      </c>
      <c r="L208" s="37">
        <v>1523</v>
      </c>
      <c r="M208" s="70">
        <v>490</v>
      </c>
      <c r="N208" s="70">
        <v>503</v>
      </c>
      <c r="O208" s="70">
        <v>556</v>
      </c>
      <c r="P208" s="70">
        <f>Q208-O208-N208-M208</f>
        <v>494</v>
      </c>
      <c r="Q208" s="37">
        <v>2043</v>
      </c>
      <c r="R208" s="70">
        <v>211</v>
      </c>
      <c r="S208" s="70">
        <v>517</v>
      </c>
      <c r="T208" s="70">
        <v>546</v>
      </c>
      <c r="U208" s="70">
        <f>V208-T208-S208-R208</f>
        <v>397</v>
      </c>
      <c r="V208" s="37">
        <v>1671</v>
      </c>
      <c r="W208" s="70">
        <v>539</v>
      </c>
      <c r="X208" s="70">
        <v>437</v>
      </c>
      <c r="Y208" s="70">
        <v>419</v>
      </c>
      <c r="Z208" s="70">
        <f>AA208-Y208-X208-W208</f>
        <v>564</v>
      </c>
      <c r="AA208" s="37">
        <v>1959</v>
      </c>
      <c r="AB208" s="70">
        <v>535</v>
      </c>
      <c r="AC208" s="70">
        <v>510</v>
      </c>
      <c r="AD208" s="70">
        <v>494</v>
      </c>
      <c r="AE208" s="70">
        <f>AF208-AD208-AC208-AB208</f>
        <v>459</v>
      </c>
      <c r="AF208" s="37">
        <v>1998</v>
      </c>
      <c r="AG208" s="70">
        <v>504</v>
      </c>
      <c r="AH208" s="70">
        <v>471</v>
      </c>
      <c r="AI208" s="70">
        <v>498</v>
      </c>
      <c r="AJ208" s="70">
        <f>AK208-AI208-AH208-AG208</f>
        <v>507</v>
      </c>
      <c r="AK208" s="37">
        <v>1980</v>
      </c>
      <c r="AL208" s="70">
        <v>547</v>
      </c>
      <c r="AM208" s="70">
        <v>662</v>
      </c>
      <c r="AN208" s="70">
        <v>512</v>
      </c>
      <c r="AO208" s="70">
        <v>427</v>
      </c>
      <c r="AP208" s="37">
        <v>2148</v>
      </c>
      <c r="AQ208" s="70">
        <v>536</v>
      </c>
      <c r="AR208" s="70">
        <v>540</v>
      </c>
      <c r="AS208" s="70">
        <v>519</v>
      </c>
      <c r="AT208" s="70">
        <v>481</v>
      </c>
      <c r="AU208" s="37">
        <v>2076</v>
      </c>
      <c r="AV208" s="70">
        <v>513</v>
      </c>
      <c r="AW208" s="70">
        <v>496</v>
      </c>
      <c r="AX208" s="70">
        <v>492</v>
      </c>
      <c r="AY208" s="70">
        <v>470</v>
      </c>
      <c r="AZ208" s="37">
        <v>1971</v>
      </c>
      <c r="BA208" s="70">
        <v>473</v>
      </c>
    </row>
    <row r="209" spans="1:53">
      <c r="A209" s="71" t="s">
        <v>7</v>
      </c>
      <c r="B209" s="24"/>
      <c r="C209" s="72"/>
      <c r="D209" s="72">
        <f>D208/C208-1</f>
        <v>0.18498659517426264</v>
      </c>
      <c r="E209" s="72">
        <f>E208/D208-1</f>
        <v>-3.1674208144796379E-2</v>
      </c>
      <c r="F209" s="72">
        <f>F208/E208-1</f>
        <v>-0.45794392523364491</v>
      </c>
      <c r="G209" s="24"/>
      <c r="H209" s="72">
        <f>H208/F208-1</f>
        <v>0.88362068965517238</v>
      </c>
      <c r="I209" s="72">
        <f>I208/H208-1</f>
        <v>-6.8649885583523806E-3</v>
      </c>
      <c r="J209" s="72">
        <f>J208/I208-1</f>
        <v>0.13133640552995396</v>
      </c>
      <c r="K209" s="72">
        <f>K208/J208-1</f>
        <v>-0.67209775967413443</v>
      </c>
      <c r="L209" s="24"/>
      <c r="M209" s="72">
        <f>M208/K208-1</f>
        <v>2.0434782608695654</v>
      </c>
      <c r="N209" s="72">
        <f>N208/M208-1</f>
        <v>2.6530612244898055E-2</v>
      </c>
      <c r="O209" s="72">
        <f>O208/N208-1</f>
        <v>0.10536779324055656</v>
      </c>
      <c r="P209" s="72">
        <f>P208/O208-1</f>
        <v>-0.11151079136690645</v>
      </c>
      <c r="Q209" s="24"/>
      <c r="R209" s="72">
        <f>R208/P208-1</f>
        <v>-0.57287449392712553</v>
      </c>
      <c r="S209" s="72">
        <f>S208/R208-1</f>
        <v>1.4502369668246446</v>
      </c>
      <c r="T209" s="72">
        <f>T208/S208-1</f>
        <v>5.6092843326885911E-2</v>
      </c>
      <c r="U209" s="72">
        <f>U208/T208-1</f>
        <v>-0.27289377289377292</v>
      </c>
      <c r="V209" s="24"/>
      <c r="W209" s="72">
        <f>W208/U208-1</f>
        <v>0.35768261964735526</v>
      </c>
      <c r="X209" s="72">
        <f>X208/W208-1</f>
        <v>-0.18923933209647492</v>
      </c>
      <c r="Y209" s="72">
        <f>Y208/X208-1</f>
        <v>-4.1189931350114395E-2</v>
      </c>
      <c r="Z209" s="72">
        <f>Z208/Y208-1</f>
        <v>0.34606205250596656</v>
      </c>
      <c r="AA209" s="24"/>
      <c r="AB209" s="72">
        <f>AB208/Z208-1</f>
        <v>-5.1418439716312103E-2</v>
      </c>
      <c r="AC209" s="72">
        <f>AC208/AB208-1</f>
        <v>-4.6728971962616828E-2</v>
      </c>
      <c r="AD209" s="72">
        <f>AD208/AC208-1</f>
        <v>-3.1372549019607843E-2</v>
      </c>
      <c r="AE209" s="72">
        <f>AE208/AD208-1</f>
        <v>-7.0850202429149745E-2</v>
      </c>
      <c r="AF209" s="24"/>
      <c r="AG209" s="72">
        <f>AG208/AE208-1</f>
        <v>9.8039215686274606E-2</v>
      </c>
      <c r="AH209" s="72">
        <f>AH208/AG208-1</f>
        <v>-6.5476190476190466E-2</v>
      </c>
      <c r="AI209" s="72">
        <f>AI208/AH208-1</f>
        <v>5.7324840764331197E-2</v>
      </c>
      <c r="AJ209" s="72">
        <f>AJ208/AI208-1</f>
        <v>1.8072289156626509E-2</v>
      </c>
      <c r="AK209" s="24"/>
      <c r="AL209" s="72">
        <v>7.8895463510848085E-2</v>
      </c>
      <c r="AM209" s="72">
        <v>0.21023765996343702</v>
      </c>
      <c r="AN209" s="72">
        <v>-0.22658610271903323</v>
      </c>
      <c r="AO209" s="72">
        <v>-0.166015625</v>
      </c>
      <c r="AP209" s="24"/>
      <c r="AQ209" s="72">
        <v>0.2552693208430914</v>
      </c>
      <c r="AR209" s="72">
        <v>7.4626865671640896E-3</v>
      </c>
      <c r="AS209" s="72">
        <v>-3.8888888888888862E-2</v>
      </c>
      <c r="AT209" s="72">
        <v>-7.3217726396917149E-2</v>
      </c>
      <c r="AU209" s="24"/>
      <c r="AV209" s="72">
        <v>6.6528066528066532E-2</v>
      </c>
      <c r="AW209" s="72">
        <v>-3.3138401559454245E-2</v>
      </c>
      <c r="AX209" s="72">
        <v>-8.0645161290322509E-3</v>
      </c>
      <c r="AY209" s="72">
        <v>-4.471544715447151E-2</v>
      </c>
      <c r="AZ209" s="24"/>
      <c r="BA209" s="72">
        <v>6.382978723404209E-3</v>
      </c>
    </row>
    <row r="210" spans="1:53">
      <c r="A210" s="71" t="s">
        <v>8</v>
      </c>
      <c r="B210" s="24"/>
      <c r="C210" s="73"/>
      <c r="D210" s="73"/>
      <c r="E210" s="73"/>
      <c r="F210" s="73"/>
      <c r="G210" s="24">
        <f t="shared" ref="G210:N210" si="183">G208/B208-1</f>
        <v>0.1182714177407127</v>
      </c>
      <c r="H210" s="73">
        <f t="shared" si="183"/>
        <v>0.17158176943699721</v>
      </c>
      <c r="I210" s="73">
        <f t="shared" si="183"/>
        <v>-1.8099547511312264E-2</v>
      </c>
      <c r="J210" s="73">
        <f t="shared" si="183"/>
        <v>0.14719626168224309</v>
      </c>
      <c r="K210" s="73">
        <f t="shared" si="183"/>
        <v>-0.30603448275862066</v>
      </c>
      <c r="L210" s="24">
        <f t="shared" si="183"/>
        <v>3.2542372881355863E-2</v>
      </c>
      <c r="M210" s="73">
        <f t="shared" si="183"/>
        <v>0.12128146453089239</v>
      </c>
      <c r="N210" s="73">
        <f t="shared" si="183"/>
        <v>0.1589861751152073</v>
      </c>
      <c r="O210" s="73">
        <f t="shared" ref="O210:Y210" si="184">O208/J208-1</f>
        <v>0.13238289205702647</v>
      </c>
      <c r="P210" s="73">
        <f t="shared" si="184"/>
        <v>2.0683229813664594</v>
      </c>
      <c r="Q210" s="24">
        <f t="shared" si="184"/>
        <v>0.34143138542350626</v>
      </c>
      <c r="R210" s="73">
        <f t="shared" si="184"/>
        <v>-0.56938775510204076</v>
      </c>
      <c r="S210" s="73">
        <f t="shared" si="184"/>
        <v>2.7833001988071482E-2</v>
      </c>
      <c r="T210" s="73">
        <f t="shared" si="184"/>
        <v>-1.7985611510791366E-2</v>
      </c>
      <c r="U210" s="73">
        <f t="shared" si="184"/>
        <v>-0.19635627530364375</v>
      </c>
      <c r="V210" s="24">
        <f t="shared" si="184"/>
        <v>-0.18208516886930981</v>
      </c>
      <c r="W210" s="73">
        <f t="shared" si="184"/>
        <v>1.5545023696682465</v>
      </c>
      <c r="X210" s="73">
        <f t="shared" si="184"/>
        <v>-0.15473887814313347</v>
      </c>
      <c r="Y210" s="73">
        <f t="shared" si="184"/>
        <v>-0.23260073260073255</v>
      </c>
      <c r="Z210" s="73">
        <f t="shared" ref="Z210:AI210" si="185">Z208/U208-1</f>
        <v>0.420654911838791</v>
      </c>
      <c r="AA210" s="24">
        <f t="shared" si="185"/>
        <v>0.17235188509874333</v>
      </c>
      <c r="AB210" s="73">
        <f t="shared" si="185"/>
        <v>-7.4211502782931538E-3</v>
      </c>
      <c r="AC210" s="73">
        <f t="shared" si="185"/>
        <v>0.16704805491990848</v>
      </c>
      <c r="AD210" s="73">
        <f t="shared" si="185"/>
        <v>0.17899761336515518</v>
      </c>
      <c r="AE210" s="73">
        <f t="shared" si="185"/>
        <v>-0.18617021276595747</v>
      </c>
      <c r="AF210" s="24">
        <f t="shared" si="185"/>
        <v>1.9908116385911168E-2</v>
      </c>
      <c r="AG210" s="73">
        <f t="shared" si="185"/>
        <v>-5.7943925233644888E-2</v>
      </c>
      <c r="AH210" s="73">
        <f t="shared" si="185"/>
        <v>-7.6470588235294068E-2</v>
      </c>
      <c r="AI210" s="73">
        <f t="shared" si="185"/>
        <v>8.0971659919029104E-3</v>
      </c>
      <c r="AJ210" s="73">
        <f t="shared" ref="AJ210:AS210" si="186">AJ208/AE208-1</f>
        <v>0.10457516339869288</v>
      </c>
      <c r="AK210" s="24">
        <v>-9.009009009009028E-3</v>
      </c>
      <c r="AL210" s="73">
        <v>8.5317460317460236E-2</v>
      </c>
      <c r="AM210" s="73">
        <v>0.40552016985137995</v>
      </c>
      <c r="AN210" s="73">
        <v>2.8112449799196693E-2</v>
      </c>
      <c r="AO210" s="73">
        <v>-0.15779092702169628</v>
      </c>
      <c r="AP210" s="24">
        <v>8.4848484848484951E-2</v>
      </c>
      <c r="AQ210" s="73">
        <v>-2.0109689213894E-2</v>
      </c>
      <c r="AR210" s="73">
        <v>-0.18429003021148038</v>
      </c>
      <c r="AS210" s="73">
        <v>1.3671875E-2</v>
      </c>
      <c r="AT210" s="73">
        <v>0.12646370023419196</v>
      </c>
      <c r="AU210" s="24">
        <v>-3.3519553072625663E-2</v>
      </c>
      <c r="AV210" s="73">
        <v>-4.2910447761194015E-2</v>
      </c>
      <c r="AW210" s="73">
        <v>-8.1481481481481488E-2</v>
      </c>
      <c r="AX210" s="73">
        <v>-5.2023121387283267E-2</v>
      </c>
      <c r="AY210" s="73">
        <v>-2.2869022869022815E-2</v>
      </c>
      <c r="AZ210" s="24">
        <v>-5.0578034682080886E-2</v>
      </c>
      <c r="BA210" s="73">
        <v>-7.7972709551656916E-2</v>
      </c>
    </row>
    <row r="211" spans="1:53">
      <c r="A211" s="69" t="s">
        <v>97</v>
      </c>
      <c r="B211" s="37">
        <v>188</v>
      </c>
      <c r="C211" s="80" t="s">
        <v>53</v>
      </c>
      <c r="D211" s="80" t="s">
        <v>53</v>
      </c>
      <c r="E211" s="80" t="s">
        <v>53</v>
      </c>
      <c r="F211" s="80" t="s">
        <v>53</v>
      </c>
      <c r="G211" s="37">
        <v>125</v>
      </c>
      <c r="H211" s="186">
        <v>-21</v>
      </c>
      <c r="I211" s="186">
        <v>-4</v>
      </c>
      <c r="J211" s="186">
        <v>3</v>
      </c>
      <c r="K211" s="186">
        <f>L211-J211-I211-H211</f>
        <v>7</v>
      </c>
      <c r="L211" s="178">
        <v>-15</v>
      </c>
      <c r="M211" s="186">
        <v>-1</v>
      </c>
      <c r="N211" s="186">
        <v>29</v>
      </c>
      <c r="O211" s="186">
        <v>30</v>
      </c>
      <c r="P211" s="186">
        <f>Q211-O211-N211-M211</f>
        <v>32</v>
      </c>
      <c r="Q211" s="37">
        <v>90</v>
      </c>
      <c r="R211" s="70">
        <v>26</v>
      </c>
      <c r="S211" s="70">
        <v>73</v>
      </c>
      <c r="T211" s="70">
        <v>88</v>
      </c>
      <c r="U211" s="70">
        <f>V211-T211-S211-R211</f>
        <v>53</v>
      </c>
      <c r="V211" s="37">
        <v>240</v>
      </c>
      <c r="W211" s="70">
        <v>49</v>
      </c>
      <c r="X211" s="70">
        <v>76</v>
      </c>
      <c r="Y211" s="70">
        <v>63</v>
      </c>
      <c r="Z211" s="70">
        <f>AA211-Y211-X211-W211</f>
        <v>71</v>
      </c>
      <c r="AA211" s="37">
        <v>259</v>
      </c>
      <c r="AB211" s="70">
        <v>98</v>
      </c>
      <c r="AC211" s="70">
        <v>112</v>
      </c>
      <c r="AD211" s="70">
        <v>130</v>
      </c>
      <c r="AE211" s="70">
        <f>AF211-AD211-AC211-AB211</f>
        <v>102</v>
      </c>
      <c r="AF211" s="37">
        <v>442</v>
      </c>
      <c r="AG211" s="147">
        <v>93</v>
      </c>
      <c r="AH211" s="147">
        <v>110</v>
      </c>
      <c r="AI211" s="147">
        <v>116</v>
      </c>
      <c r="AJ211" s="147">
        <f>AK211-AI211-AH211-AG211</f>
        <v>81</v>
      </c>
      <c r="AK211" s="37">
        <v>400</v>
      </c>
      <c r="AL211" s="147">
        <v>75</v>
      </c>
      <c r="AM211" s="147">
        <v>100</v>
      </c>
      <c r="AN211" s="147">
        <v>138</v>
      </c>
      <c r="AO211" s="147">
        <v>19</v>
      </c>
      <c r="AP211" s="37">
        <v>332</v>
      </c>
      <c r="AQ211" s="147">
        <v>101</v>
      </c>
      <c r="AR211" s="147">
        <v>105</v>
      </c>
      <c r="AS211" s="147">
        <v>93</v>
      </c>
      <c r="AT211" s="147">
        <v>146</v>
      </c>
      <c r="AU211" s="37">
        <v>445</v>
      </c>
      <c r="AV211" s="147">
        <v>92</v>
      </c>
      <c r="AW211" s="147">
        <v>82</v>
      </c>
      <c r="AX211" s="147">
        <v>107</v>
      </c>
      <c r="AY211" s="147">
        <v>122</v>
      </c>
      <c r="AZ211" s="37">
        <v>403</v>
      </c>
      <c r="BA211" s="147">
        <v>121</v>
      </c>
    </row>
    <row r="212" spans="1:53" ht="10.15" customHeight="1">
      <c r="A212" s="71" t="s">
        <v>7</v>
      </c>
      <c r="B212" s="24"/>
      <c r="C212" s="73"/>
      <c r="D212" s="73"/>
      <c r="E212" s="73"/>
      <c r="F212" s="73"/>
      <c r="G212" s="24"/>
      <c r="H212" s="72"/>
      <c r="I212" s="72">
        <f>I211/H211-1</f>
        <v>-0.80952380952380953</v>
      </c>
      <c r="J212" s="83" t="s">
        <v>44</v>
      </c>
      <c r="K212" s="72">
        <f>K211/J211-1</f>
        <v>1.3333333333333335</v>
      </c>
      <c r="L212" s="24"/>
      <c r="M212" s="83" t="s">
        <v>44</v>
      </c>
      <c r="N212" s="83" t="s">
        <v>44</v>
      </c>
      <c r="O212" s="72">
        <f>O211/N211-1</f>
        <v>3.4482758620689724E-2</v>
      </c>
      <c r="P212" s="72">
        <f>P211/O211-1</f>
        <v>6.6666666666666652E-2</v>
      </c>
      <c r="Q212" s="24"/>
      <c r="R212" s="72">
        <f>R211/P211-1</f>
        <v>-0.1875</v>
      </c>
      <c r="S212" s="72">
        <f>S211/R211-1</f>
        <v>1.8076923076923075</v>
      </c>
      <c r="T212" s="72">
        <f>T211/S211-1</f>
        <v>0.20547945205479445</v>
      </c>
      <c r="U212" s="72">
        <f>U211/T211-1</f>
        <v>-0.39772727272727271</v>
      </c>
      <c r="V212" s="24"/>
      <c r="W212" s="72">
        <f>W211/U211-1</f>
        <v>-7.547169811320753E-2</v>
      </c>
      <c r="X212" s="72">
        <f>X211/W211-1</f>
        <v>0.55102040816326525</v>
      </c>
      <c r="Y212" s="72">
        <f>Y211/X211-1</f>
        <v>-0.17105263157894735</v>
      </c>
      <c r="Z212" s="72">
        <f>Z211/Y211-1</f>
        <v>0.12698412698412698</v>
      </c>
      <c r="AA212" s="24"/>
      <c r="AB212" s="72">
        <f>AB211/Z211-1</f>
        <v>0.38028169014084501</v>
      </c>
      <c r="AC212" s="72">
        <f>AC211/AB211-1</f>
        <v>0.14285714285714279</v>
      </c>
      <c r="AD212" s="72">
        <f>AD211/AC211-1</f>
        <v>0.16071428571428581</v>
      </c>
      <c r="AE212" s="72">
        <f>AE211/AD211-1</f>
        <v>-0.2153846153846154</v>
      </c>
      <c r="AF212" s="24"/>
      <c r="AG212" s="72">
        <f>AG211/AE211-1</f>
        <v>-8.8235294117647078E-2</v>
      </c>
      <c r="AH212" s="72">
        <f>AH211/AG211-1</f>
        <v>0.18279569892473124</v>
      </c>
      <c r="AI212" s="72">
        <f>AI211/AH211-1</f>
        <v>5.4545454545454453E-2</v>
      </c>
      <c r="AJ212" s="72">
        <f>AJ211/AI211-1</f>
        <v>-0.30172413793103448</v>
      </c>
      <c r="AK212" s="24"/>
      <c r="AL212" s="72">
        <v>-7.407407407407407E-2</v>
      </c>
      <c r="AM212" s="72">
        <v>0.33333333333333326</v>
      </c>
      <c r="AN212" s="72">
        <v>0.37999999999999989</v>
      </c>
      <c r="AO212" s="72">
        <v>-0.8623188405797102</v>
      </c>
      <c r="AP212" s="24"/>
      <c r="AQ212" s="72">
        <v>4.3157894736842106</v>
      </c>
      <c r="AR212" s="72">
        <v>3.9603960396039639E-2</v>
      </c>
      <c r="AS212" s="72">
        <v>-0.11428571428571432</v>
      </c>
      <c r="AT212" s="72">
        <v>0.56989247311827951</v>
      </c>
      <c r="AU212" s="24"/>
      <c r="AV212" s="72">
        <v>-0.36986301369863017</v>
      </c>
      <c r="AW212" s="72">
        <v>-0.10869565217391308</v>
      </c>
      <c r="AX212" s="72">
        <v>0.30487804878048785</v>
      </c>
      <c r="AY212" s="72">
        <v>0.14018691588785037</v>
      </c>
      <c r="AZ212" s="24"/>
      <c r="BA212" s="72">
        <v>-8.1967213114754189E-3</v>
      </c>
    </row>
    <row r="213" spans="1:53" ht="10.5" customHeight="1">
      <c r="A213" s="71" t="s">
        <v>8</v>
      </c>
      <c r="B213" s="24"/>
      <c r="C213" s="73"/>
      <c r="D213" s="73"/>
      <c r="E213" s="73"/>
      <c r="F213" s="73"/>
      <c r="G213" s="24">
        <f>G211/B211-1</f>
        <v>-0.33510638297872342</v>
      </c>
      <c r="H213" s="73"/>
      <c r="I213" s="73"/>
      <c r="J213" s="73"/>
      <c r="K213" s="73"/>
      <c r="L213" s="92" t="s">
        <v>44</v>
      </c>
      <c r="M213" s="73">
        <f>M211/H211-1</f>
        <v>-0.95238095238095233</v>
      </c>
      <c r="N213" s="73">
        <f>N211/I211-1</f>
        <v>-8.25</v>
      </c>
      <c r="O213" s="73">
        <f>O211/J211-1</f>
        <v>9</v>
      </c>
      <c r="P213" s="73">
        <f>P211/K211-1</f>
        <v>3.5714285714285712</v>
      </c>
      <c r="Q213" s="92" t="s">
        <v>44</v>
      </c>
      <c r="R213" s="83" t="s">
        <v>44</v>
      </c>
      <c r="S213" s="73">
        <f t="shared" ref="S213:AD213" si="187">S211/N211-1</f>
        <v>1.5172413793103448</v>
      </c>
      <c r="T213" s="73">
        <f t="shared" si="187"/>
        <v>1.9333333333333331</v>
      </c>
      <c r="U213" s="73">
        <f t="shared" si="187"/>
        <v>0.65625</v>
      </c>
      <c r="V213" s="24">
        <f t="shared" si="187"/>
        <v>1.6666666666666665</v>
      </c>
      <c r="W213" s="73">
        <f t="shared" si="187"/>
        <v>0.88461538461538458</v>
      </c>
      <c r="X213" s="73">
        <f t="shared" si="187"/>
        <v>4.1095890410958846E-2</v>
      </c>
      <c r="Y213" s="73">
        <f t="shared" si="187"/>
        <v>-0.28409090909090906</v>
      </c>
      <c r="Z213" s="73">
        <f t="shared" si="187"/>
        <v>0.33962264150943389</v>
      </c>
      <c r="AA213" s="24">
        <f t="shared" si="187"/>
        <v>7.9166666666666607E-2</v>
      </c>
      <c r="AB213" s="73">
        <f t="shared" si="187"/>
        <v>1</v>
      </c>
      <c r="AC213" s="73">
        <f t="shared" si="187"/>
        <v>0.47368421052631571</v>
      </c>
      <c r="AD213" s="73">
        <f t="shared" si="187"/>
        <v>1.0634920634920637</v>
      </c>
      <c r="AE213" s="73">
        <f t="shared" ref="AE213:AN213" si="188">AE211/Z211-1</f>
        <v>0.43661971830985924</v>
      </c>
      <c r="AF213" s="24">
        <f t="shared" si="188"/>
        <v>0.70656370656370648</v>
      </c>
      <c r="AG213" s="73">
        <f t="shared" si="188"/>
        <v>-5.1020408163265252E-2</v>
      </c>
      <c r="AH213" s="73">
        <f t="shared" si="188"/>
        <v>-1.7857142857142905E-2</v>
      </c>
      <c r="AI213" s="73">
        <f t="shared" si="188"/>
        <v>-0.10769230769230764</v>
      </c>
      <c r="AJ213" s="73">
        <f t="shared" si="188"/>
        <v>-0.20588235294117652</v>
      </c>
      <c r="AK213" s="24">
        <v>-9.5022624434389136E-2</v>
      </c>
      <c r="AL213" s="73">
        <v>-0.19354838709677424</v>
      </c>
      <c r="AM213" s="73">
        <v>-9.0909090909090939E-2</v>
      </c>
      <c r="AN213" s="73">
        <v>0.18965517241379315</v>
      </c>
      <c r="AO213" s="73">
        <v>-0.76543209876543217</v>
      </c>
      <c r="AP213" s="24">
        <v>-0.17000000000000004</v>
      </c>
      <c r="AQ213" s="73">
        <v>0.34666666666666668</v>
      </c>
      <c r="AR213" s="73">
        <v>5.0000000000000044E-2</v>
      </c>
      <c r="AS213" s="73">
        <v>-0.32608695652173914</v>
      </c>
      <c r="AT213" s="73">
        <v>6.6842105263157894</v>
      </c>
      <c r="AU213" s="24">
        <v>0.34036144578313254</v>
      </c>
      <c r="AV213" s="73">
        <v>-8.9108910891089077E-2</v>
      </c>
      <c r="AW213" s="73">
        <v>-0.21904761904761905</v>
      </c>
      <c r="AX213" s="73">
        <v>0.15053763440860224</v>
      </c>
      <c r="AY213" s="73">
        <v>-0.16438356164383561</v>
      </c>
      <c r="AZ213" s="24">
        <v>-9.4382022471910076E-2</v>
      </c>
      <c r="BA213" s="73">
        <v>0.31521739130434789</v>
      </c>
    </row>
    <row r="214" spans="1:53" ht="11.1" customHeight="1">
      <c r="A214" s="69" t="s">
        <v>208</v>
      </c>
      <c r="B214" s="37">
        <v>394</v>
      </c>
      <c r="C214" s="80" t="s">
        <v>53</v>
      </c>
      <c r="D214" s="80" t="s">
        <v>53</v>
      </c>
      <c r="E214" s="80" t="s">
        <v>53</v>
      </c>
      <c r="F214" s="80" t="s">
        <v>53</v>
      </c>
      <c r="G214" s="37">
        <v>400</v>
      </c>
      <c r="H214" s="80" t="s">
        <v>53</v>
      </c>
      <c r="I214" s="80" t="s">
        <v>53</v>
      </c>
      <c r="J214" s="80" t="s">
        <v>53</v>
      </c>
      <c r="K214" s="80" t="s">
        <v>53</v>
      </c>
      <c r="L214" s="178">
        <v>431</v>
      </c>
      <c r="M214" s="80" t="s">
        <v>53</v>
      </c>
      <c r="N214" s="80" t="s">
        <v>53</v>
      </c>
      <c r="O214" s="80" t="s">
        <v>53</v>
      </c>
      <c r="P214" s="80" t="s">
        <v>53</v>
      </c>
      <c r="Q214" s="37">
        <v>527</v>
      </c>
      <c r="R214" s="80" t="s">
        <v>53</v>
      </c>
      <c r="S214" s="80" t="s">
        <v>53</v>
      </c>
      <c r="T214" s="80" t="s">
        <v>53</v>
      </c>
      <c r="U214" s="80" t="s">
        <v>53</v>
      </c>
      <c r="V214" s="37">
        <v>356</v>
      </c>
      <c r="W214" s="80" t="s">
        <v>53</v>
      </c>
      <c r="X214" s="80" t="s">
        <v>53</v>
      </c>
      <c r="Y214" s="80" t="s">
        <v>53</v>
      </c>
      <c r="Z214" s="80" t="s">
        <v>53</v>
      </c>
      <c r="AA214" s="37">
        <v>493</v>
      </c>
      <c r="AB214" s="80" t="s">
        <v>53</v>
      </c>
      <c r="AC214" s="80" t="s">
        <v>53</v>
      </c>
      <c r="AD214" s="80" t="s">
        <v>53</v>
      </c>
      <c r="AE214" s="80" t="s">
        <v>53</v>
      </c>
      <c r="AF214" s="37">
        <v>410</v>
      </c>
      <c r="AG214" s="80" t="s">
        <v>53</v>
      </c>
      <c r="AH214" s="80" t="s">
        <v>53</v>
      </c>
      <c r="AI214" s="80" t="s">
        <v>53</v>
      </c>
      <c r="AJ214" s="80" t="s">
        <v>53</v>
      </c>
      <c r="AK214" s="37">
        <v>478</v>
      </c>
      <c r="AL214" s="80" t="s">
        <v>53</v>
      </c>
      <c r="AM214" s="80" t="s">
        <v>53</v>
      </c>
      <c r="AN214" s="80" t="s">
        <v>53</v>
      </c>
      <c r="AO214" s="80" t="s">
        <v>53</v>
      </c>
      <c r="AP214" s="37">
        <v>492</v>
      </c>
      <c r="AQ214" s="147">
        <v>107</v>
      </c>
      <c r="AR214" s="147">
        <v>109</v>
      </c>
      <c r="AS214" s="147">
        <v>83</v>
      </c>
      <c r="AT214" s="147">
        <v>100</v>
      </c>
      <c r="AU214" s="37">
        <v>399</v>
      </c>
      <c r="AV214" s="147">
        <v>102</v>
      </c>
      <c r="AW214" s="147">
        <v>97</v>
      </c>
      <c r="AX214" s="147">
        <v>109</v>
      </c>
      <c r="AY214" s="147">
        <v>88</v>
      </c>
      <c r="AZ214" s="37">
        <v>396</v>
      </c>
      <c r="BA214" s="147">
        <v>89</v>
      </c>
    </row>
    <row r="215" spans="1:53" ht="11.65" customHeight="1">
      <c r="A215" s="71" t="s">
        <v>7</v>
      </c>
      <c r="B215" s="24"/>
      <c r="C215" s="72"/>
      <c r="D215" s="72"/>
      <c r="E215" s="72"/>
      <c r="F215" s="72"/>
      <c r="G215" s="24"/>
      <c r="H215" s="72"/>
      <c r="I215" s="72"/>
      <c r="J215" s="72"/>
      <c r="K215" s="72"/>
      <c r="L215" s="24"/>
      <c r="M215" s="72"/>
      <c r="N215" s="72"/>
      <c r="O215" s="72"/>
      <c r="P215" s="72"/>
      <c r="Q215" s="24"/>
      <c r="R215" s="72"/>
      <c r="S215" s="72"/>
      <c r="T215" s="72"/>
      <c r="U215" s="72"/>
      <c r="V215" s="24"/>
      <c r="W215" s="72"/>
      <c r="X215" s="72"/>
      <c r="Y215" s="72"/>
      <c r="Z215" s="72"/>
      <c r="AA215" s="24"/>
      <c r="AB215" s="72"/>
      <c r="AC215" s="72"/>
      <c r="AD215" s="72"/>
      <c r="AE215" s="72"/>
      <c r="AF215" s="24"/>
      <c r="AG215" s="72"/>
      <c r="AH215" s="72"/>
      <c r="AI215" s="72"/>
      <c r="AJ215" s="72"/>
      <c r="AK215" s="24"/>
      <c r="AL215" s="72"/>
      <c r="AM215" s="72"/>
      <c r="AN215" s="72"/>
      <c r="AO215" s="72"/>
      <c r="AP215" s="24"/>
      <c r="AQ215" s="72"/>
      <c r="AR215" s="72">
        <v>1.8691588785046731E-2</v>
      </c>
      <c r="AS215" s="72">
        <v>-0.23853211009174313</v>
      </c>
      <c r="AT215" s="72">
        <v>0.20481927710843384</v>
      </c>
      <c r="AU215" s="24"/>
      <c r="AV215" s="72">
        <v>2.0000000000000018E-2</v>
      </c>
      <c r="AW215" s="72">
        <v>-4.9019607843137303E-2</v>
      </c>
      <c r="AX215" s="72">
        <v>0.12371134020618557</v>
      </c>
      <c r="AY215" s="72">
        <v>-0.19266055045871555</v>
      </c>
      <c r="AZ215" s="24"/>
      <c r="BA215" s="72">
        <v>1.1363636363636465E-2</v>
      </c>
    </row>
    <row r="216" spans="1:53" ht="10.5" customHeight="1">
      <c r="A216" s="71" t="s">
        <v>8</v>
      </c>
      <c r="B216" s="24"/>
      <c r="C216" s="73"/>
      <c r="D216" s="73"/>
      <c r="E216" s="73"/>
      <c r="F216" s="73"/>
      <c r="G216" s="24">
        <f t="shared" ref="G216" si="189">G214/B214-1</f>
        <v>1.5228426395939021E-2</v>
      </c>
      <c r="H216" s="73"/>
      <c r="I216" s="73"/>
      <c r="J216" s="73"/>
      <c r="K216" s="73"/>
      <c r="L216" s="24">
        <f t="shared" ref="L216" si="190">L214/G214-1</f>
        <v>7.7499999999999902E-2</v>
      </c>
      <c r="M216" s="73"/>
      <c r="N216" s="73"/>
      <c r="O216" s="73"/>
      <c r="P216" s="73"/>
      <c r="Q216" s="24">
        <f t="shared" ref="Q216" si="191">Q214/L214-1</f>
        <v>0.22273781902552203</v>
      </c>
      <c r="R216" s="73"/>
      <c r="S216" s="73"/>
      <c r="T216" s="73"/>
      <c r="U216" s="73"/>
      <c r="V216" s="24">
        <f t="shared" ref="V216" si="192">V214/Q214-1</f>
        <v>-0.32447817836812143</v>
      </c>
      <c r="W216" s="73"/>
      <c r="X216" s="73"/>
      <c r="Y216" s="73"/>
      <c r="Z216" s="73"/>
      <c r="AA216" s="24">
        <f t="shared" ref="AA216" si="193">AA214/V214-1</f>
        <v>0.38483146067415741</v>
      </c>
      <c r="AB216" s="73"/>
      <c r="AC216" s="73"/>
      <c r="AD216" s="73"/>
      <c r="AE216" s="73"/>
      <c r="AF216" s="24">
        <f t="shared" ref="AF216" si="194">AF214/AA214-1</f>
        <v>-0.16835699797160242</v>
      </c>
      <c r="AG216" s="73"/>
      <c r="AH216" s="73"/>
      <c r="AI216" s="73"/>
      <c r="AJ216" s="73"/>
      <c r="AK216" s="24">
        <v>0.16585365853658529</v>
      </c>
      <c r="AL216" s="73"/>
      <c r="AM216" s="73"/>
      <c r="AN216" s="73"/>
      <c r="AO216" s="73"/>
      <c r="AP216" s="24">
        <v>2.9288702928870203E-2</v>
      </c>
      <c r="AQ216" s="73"/>
      <c r="AR216" s="73"/>
      <c r="AS216" s="73"/>
      <c r="AT216" s="73"/>
      <c r="AU216" s="24">
        <v>-0.18902439024390238</v>
      </c>
      <c r="AV216" s="73">
        <v>-4.6728971962616828E-2</v>
      </c>
      <c r="AW216" s="73">
        <v>-0.11009174311926606</v>
      </c>
      <c r="AX216" s="73">
        <v>0.31325301204819267</v>
      </c>
      <c r="AY216" s="73">
        <v>-0.12</v>
      </c>
      <c r="AZ216" s="24">
        <v>-7.5187969924812581E-3</v>
      </c>
      <c r="BA216" s="73">
        <v>-0.12745098039215685</v>
      </c>
    </row>
    <row r="217" spans="1:53" ht="12" customHeight="1">
      <c r="A217" s="69" t="s">
        <v>58</v>
      </c>
      <c r="B217" s="37">
        <f>1330-593</f>
        <v>737</v>
      </c>
      <c r="C217" s="70">
        <f>398-154</f>
        <v>244</v>
      </c>
      <c r="D217" s="70">
        <f>468-178</f>
        <v>290</v>
      </c>
      <c r="E217" s="70">
        <f>462-191</f>
        <v>271</v>
      </c>
      <c r="F217" s="70">
        <f>G217-E217-D217-C217</f>
        <v>145</v>
      </c>
      <c r="G217" s="37">
        <f>1627-677</f>
        <v>950</v>
      </c>
      <c r="H217" s="70">
        <f>608-272</f>
        <v>336</v>
      </c>
      <c r="I217" s="70">
        <f>541-225</f>
        <v>316</v>
      </c>
      <c r="J217" s="70">
        <v>319</v>
      </c>
      <c r="K217" s="70">
        <f>L217-J217-I217-H217</f>
        <v>136</v>
      </c>
      <c r="L217" s="37">
        <f>3603-958-1538</f>
        <v>1107</v>
      </c>
      <c r="M217" s="70">
        <f>642-282</f>
        <v>360</v>
      </c>
      <c r="N217" s="70">
        <f>638-289</f>
        <v>349</v>
      </c>
      <c r="O217" s="70">
        <f>588-211</f>
        <v>377</v>
      </c>
      <c r="P217" s="70">
        <f>Q217-O217-N217-M217</f>
        <v>340</v>
      </c>
      <c r="Q217" s="37">
        <f>2443-1017</f>
        <v>1426</v>
      </c>
      <c r="R217" s="70">
        <f>185-62</f>
        <v>123</v>
      </c>
      <c r="S217" s="70">
        <v>330</v>
      </c>
      <c r="T217" s="70">
        <f>458-147</f>
        <v>311</v>
      </c>
      <c r="U217" s="70">
        <f>V217-T217-S217-R217</f>
        <v>309</v>
      </c>
      <c r="V217" s="37">
        <v>1073</v>
      </c>
      <c r="W217" s="70">
        <f>490-162+20</f>
        <v>348</v>
      </c>
      <c r="X217" s="70">
        <f>361-98</f>
        <v>263</v>
      </c>
      <c r="Y217" s="70">
        <f>356-110</f>
        <v>246</v>
      </c>
      <c r="Z217" s="70">
        <f>AA217-Y217-X217-W217</f>
        <v>370</v>
      </c>
      <c r="AA217" s="37">
        <f>1700-493+20</f>
        <v>1227</v>
      </c>
      <c r="AB217" s="70">
        <v>303</v>
      </c>
      <c r="AC217" s="70">
        <v>292</v>
      </c>
      <c r="AD217" s="70">
        <v>288</v>
      </c>
      <c r="AE217" s="70">
        <f>AF217-AD217-AC217-AB217</f>
        <v>263</v>
      </c>
      <c r="AF217" s="37">
        <v>1146</v>
      </c>
      <c r="AG217" s="147">
        <v>295</v>
      </c>
      <c r="AH217" s="147">
        <v>251</v>
      </c>
      <c r="AI217" s="147">
        <v>263</v>
      </c>
      <c r="AJ217" s="147">
        <f>AK217-AI217-AH217-AG217</f>
        <v>293</v>
      </c>
      <c r="AK217" s="37">
        <v>1102</v>
      </c>
      <c r="AL217" s="70">
        <v>346</v>
      </c>
      <c r="AM217" s="70">
        <v>382</v>
      </c>
      <c r="AN217" s="70">
        <v>256</v>
      </c>
      <c r="AO217" s="147">
        <v>340</v>
      </c>
      <c r="AP217" s="37">
        <v>1324</v>
      </c>
      <c r="AQ217" s="70">
        <v>328</v>
      </c>
      <c r="AR217" s="70">
        <v>326</v>
      </c>
      <c r="AS217" s="70">
        <v>343</v>
      </c>
      <c r="AT217" s="147">
        <v>235</v>
      </c>
      <c r="AU217" s="37">
        <v>1232</v>
      </c>
      <c r="AV217" s="70">
        <v>319</v>
      </c>
      <c r="AW217" s="70">
        <v>317</v>
      </c>
      <c r="AX217" s="70">
        <v>276</v>
      </c>
      <c r="AY217" s="147">
        <v>260</v>
      </c>
      <c r="AZ217" s="37">
        <v>1172</v>
      </c>
      <c r="BA217" s="70">
        <v>263</v>
      </c>
    </row>
    <row r="218" spans="1:53" ht="15.6" customHeight="1">
      <c r="A218" s="71" t="s">
        <v>7</v>
      </c>
      <c r="B218" s="24"/>
      <c r="C218" s="72"/>
      <c r="D218" s="72">
        <f>D217/C217-1</f>
        <v>0.18852459016393452</v>
      </c>
      <c r="E218" s="72">
        <f>E217/D217-1</f>
        <v>-6.5517241379310365E-2</v>
      </c>
      <c r="F218" s="72">
        <f>F217/E217-1</f>
        <v>-0.4649446494464945</v>
      </c>
      <c r="G218" s="24"/>
      <c r="H218" s="72">
        <f>H217/F217-1</f>
        <v>1.317241379310345</v>
      </c>
      <c r="I218" s="72">
        <f>I217/H217-1</f>
        <v>-5.9523809523809534E-2</v>
      </c>
      <c r="J218" s="72">
        <f>J217/I217-1</f>
        <v>9.493670886076E-3</v>
      </c>
      <c r="K218" s="72">
        <f>K217/J217-1</f>
        <v>-0.57366771159874608</v>
      </c>
      <c r="L218" s="24"/>
      <c r="M218" s="72">
        <f>M217/K217-1</f>
        <v>1.6470588235294117</v>
      </c>
      <c r="N218" s="72">
        <f>N217/M217-1</f>
        <v>-3.0555555555555558E-2</v>
      </c>
      <c r="O218" s="72">
        <f>O217/N217-1</f>
        <v>8.022922636103158E-2</v>
      </c>
      <c r="P218" s="72">
        <f>P217/O217-1</f>
        <v>-9.8143236074270557E-2</v>
      </c>
      <c r="Q218" s="24"/>
      <c r="R218" s="72">
        <f>R217/P217-1</f>
        <v>-0.63823529411764701</v>
      </c>
      <c r="S218" s="72">
        <f>S217/R217-1</f>
        <v>1.6829268292682928</v>
      </c>
      <c r="T218" s="72">
        <f>T217/S217-1</f>
        <v>-5.7575757575757613E-2</v>
      </c>
      <c r="U218" s="72">
        <f>U217/T217-1</f>
        <v>-6.4308681672026191E-3</v>
      </c>
      <c r="V218" s="24"/>
      <c r="W218" s="72">
        <f>W217/U217-1</f>
        <v>0.12621359223300965</v>
      </c>
      <c r="X218" s="72">
        <f>X217/W217-1</f>
        <v>-0.24425287356321834</v>
      </c>
      <c r="Y218" s="72">
        <f>Y217/X217-1</f>
        <v>-6.4638783269961975E-2</v>
      </c>
      <c r="Z218" s="72">
        <f>Z217/Y217-1</f>
        <v>0.50406504065040658</v>
      </c>
      <c r="AA218" s="24"/>
      <c r="AB218" s="72">
        <f>AB217/Z217-1</f>
        <v>-0.18108108108108112</v>
      </c>
      <c r="AC218" s="72">
        <f>AC217/AB217-1</f>
        <v>-3.6303630363036299E-2</v>
      </c>
      <c r="AD218" s="72">
        <f>AD217/AC217-1</f>
        <v>-1.3698630136986356E-2</v>
      </c>
      <c r="AE218" s="72">
        <f>AE217/AD217-1</f>
        <v>-8.680555555555558E-2</v>
      </c>
      <c r="AF218" s="24"/>
      <c r="AG218" s="72">
        <f>AG217/AE217-1</f>
        <v>0.1216730038022813</v>
      </c>
      <c r="AH218" s="72">
        <f>AH217/AG217-1</f>
        <v>-0.14915254237288134</v>
      </c>
      <c r="AI218" s="72">
        <f>AI217/AH217-1</f>
        <v>4.7808764940239001E-2</v>
      </c>
      <c r="AJ218" s="72">
        <f>AJ217/AI217-1</f>
        <v>0.11406844106463887</v>
      </c>
      <c r="AK218" s="24"/>
      <c r="AL218" s="72">
        <v>0.1808873720136519</v>
      </c>
      <c r="AM218" s="72">
        <v>0.10404624277456653</v>
      </c>
      <c r="AN218" s="72">
        <v>-0.32984293193717273</v>
      </c>
      <c r="AO218" s="72">
        <v>0.328125</v>
      </c>
      <c r="AP218" s="24"/>
      <c r="AQ218" s="72">
        <v>-3.5294117647058809E-2</v>
      </c>
      <c r="AR218" s="72">
        <v>-6.0975609756097615E-3</v>
      </c>
      <c r="AS218" s="72">
        <v>5.2147239263803602E-2</v>
      </c>
      <c r="AT218" s="72">
        <v>-0.314868804664723</v>
      </c>
      <c r="AU218" s="24"/>
      <c r="AV218" s="72">
        <v>0.35744680851063837</v>
      </c>
      <c r="AW218" s="72">
        <v>-6.2695924764890609E-3</v>
      </c>
      <c r="AX218" s="72">
        <v>-0.12933753943217663</v>
      </c>
      <c r="AY218" s="72">
        <v>-5.7971014492753659E-2</v>
      </c>
      <c r="AZ218" s="24"/>
      <c r="BA218" s="72">
        <v>1.1538461538461497E-2</v>
      </c>
    </row>
    <row r="219" spans="1:53" ht="9" customHeight="1">
      <c r="A219" s="71" t="s">
        <v>8</v>
      </c>
      <c r="B219" s="24"/>
      <c r="C219" s="73"/>
      <c r="D219" s="73"/>
      <c r="E219" s="73"/>
      <c r="F219" s="73"/>
      <c r="G219" s="24">
        <f t="shared" ref="G219:N219" si="195">G217/B217-1</f>
        <v>0.28900949796472175</v>
      </c>
      <c r="H219" s="73">
        <f t="shared" si="195"/>
        <v>0.37704918032786883</v>
      </c>
      <c r="I219" s="73">
        <f t="shared" si="195"/>
        <v>8.9655172413793061E-2</v>
      </c>
      <c r="J219" s="73">
        <f t="shared" si="195"/>
        <v>0.17712177121771222</v>
      </c>
      <c r="K219" s="73">
        <f t="shared" si="195"/>
        <v>-6.2068965517241392E-2</v>
      </c>
      <c r="L219" s="24">
        <f t="shared" si="195"/>
        <v>0.16526315789473678</v>
      </c>
      <c r="M219" s="73">
        <f t="shared" si="195"/>
        <v>7.1428571428571397E-2</v>
      </c>
      <c r="N219" s="73">
        <f t="shared" si="195"/>
        <v>0.10443037974683533</v>
      </c>
      <c r="O219" s="73">
        <f t="shared" ref="O219:Y219" si="196">O217/J217-1</f>
        <v>0.18181818181818188</v>
      </c>
      <c r="P219" s="73">
        <f t="shared" si="196"/>
        <v>1.5</v>
      </c>
      <c r="Q219" s="24">
        <f t="shared" si="196"/>
        <v>0.28816621499548334</v>
      </c>
      <c r="R219" s="73">
        <f t="shared" si="196"/>
        <v>-0.65833333333333333</v>
      </c>
      <c r="S219" s="73">
        <f t="shared" si="196"/>
        <v>-5.4441260744985676E-2</v>
      </c>
      <c r="T219" s="73">
        <f t="shared" si="196"/>
        <v>-0.17506631299734743</v>
      </c>
      <c r="U219" s="73">
        <f t="shared" si="196"/>
        <v>-9.1176470588235303E-2</v>
      </c>
      <c r="V219" s="24">
        <f t="shared" si="196"/>
        <v>-0.24754558204768584</v>
      </c>
      <c r="W219" s="73">
        <f t="shared" si="196"/>
        <v>1.8292682926829267</v>
      </c>
      <c r="X219" s="73">
        <f t="shared" si="196"/>
        <v>-0.20303030303030301</v>
      </c>
      <c r="Y219" s="73">
        <f t="shared" si="196"/>
        <v>-0.20900321543408362</v>
      </c>
      <c r="Z219" s="73">
        <f t="shared" ref="Z219:AI219" si="197">Z217/U217-1</f>
        <v>0.19741100323624594</v>
      </c>
      <c r="AA219" s="24">
        <f t="shared" si="197"/>
        <v>0.14352283317800563</v>
      </c>
      <c r="AB219" s="73">
        <f t="shared" si="197"/>
        <v>-0.12931034482758619</v>
      </c>
      <c r="AC219" s="73">
        <f t="shared" si="197"/>
        <v>0.11026615969581743</v>
      </c>
      <c r="AD219" s="73">
        <f t="shared" si="197"/>
        <v>0.1707317073170731</v>
      </c>
      <c r="AE219" s="73">
        <f t="shared" si="197"/>
        <v>-0.28918918918918923</v>
      </c>
      <c r="AF219" s="24">
        <f t="shared" si="197"/>
        <v>-6.6014669926650393E-2</v>
      </c>
      <c r="AG219" s="73">
        <f t="shared" si="197"/>
        <v>-2.6402640264026389E-2</v>
      </c>
      <c r="AH219" s="73">
        <f t="shared" si="197"/>
        <v>-0.1404109589041096</v>
      </c>
      <c r="AI219" s="73">
        <f t="shared" si="197"/>
        <v>-8.680555555555558E-2</v>
      </c>
      <c r="AJ219" s="73">
        <f t="shared" ref="AJ219:AS219" si="198">AJ217/AE217-1</f>
        <v>0.11406844106463887</v>
      </c>
      <c r="AK219" s="24">
        <v>-3.839441535776611E-2</v>
      </c>
      <c r="AL219" s="73">
        <v>0.17288135593220333</v>
      </c>
      <c r="AM219" s="73">
        <v>0.52191235059760954</v>
      </c>
      <c r="AN219" s="73">
        <v>-2.6615969581749055E-2</v>
      </c>
      <c r="AO219" s="73">
        <v>0.16040955631399312</v>
      </c>
      <c r="AP219" s="24">
        <v>0.20145190562613435</v>
      </c>
      <c r="AQ219" s="73">
        <v>-5.2023121387283267E-2</v>
      </c>
      <c r="AR219" s="73">
        <v>-0.1465968586387435</v>
      </c>
      <c r="AS219" s="73">
        <v>0.33984375</v>
      </c>
      <c r="AT219" s="73">
        <v>-0.30882352941176472</v>
      </c>
      <c r="AU219" s="24">
        <v>-6.9486404833836835E-2</v>
      </c>
      <c r="AV219" s="73">
        <v>-2.7439024390243927E-2</v>
      </c>
      <c r="AW219" s="73">
        <v>-2.7607361963190136E-2</v>
      </c>
      <c r="AX219" s="73">
        <v>-0.19533527696793007</v>
      </c>
      <c r="AY219" s="73">
        <v>0.1063829787234043</v>
      </c>
      <c r="AZ219" s="24">
        <v>-4.870129870129869E-2</v>
      </c>
      <c r="BA219" s="73">
        <v>-0.17554858934169282</v>
      </c>
    </row>
    <row r="220" spans="1:53" ht="25.5">
      <c r="A220" s="89" t="s">
        <v>276</v>
      </c>
      <c r="B220" s="37">
        <f>B223+B205</f>
        <v>2299</v>
      </c>
      <c r="C220" s="80" t="s">
        <v>53</v>
      </c>
      <c r="D220" s="80" t="s">
        <v>53</v>
      </c>
      <c r="E220" s="80" t="s">
        <v>53</v>
      </c>
      <c r="F220" s="80" t="s">
        <v>53</v>
      </c>
      <c r="G220" s="37">
        <f>G223+G205</f>
        <v>2423</v>
      </c>
      <c r="H220" s="147">
        <f t="shared" ref="H220:J220" si="199">H223+H205</f>
        <v>628</v>
      </c>
      <c r="I220" s="147">
        <f t="shared" si="199"/>
        <v>643</v>
      </c>
      <c r="J220" s="147">
        <f t="shared" si="199"/>
        <v>637</v>
      </c>
      <c r="K220" s="147">
        <f>L220-J220-I220-H220</f>
        <v>611</v>
      </c>
      <c r="L220" s="37">
        <f>L223+L205</f>
        <v>2519</v>
      </c>
      <c r="M220" s="147">
        <f t="shared" ref="M220:O220" si="200">M223+M205</f>
        <v>635</v>
      </c>
      <c r="N220" s="147">
        <f t="shared" si="200"/>
        <v>661</v>
      </c>
      <c r="O220" s="147">
        <f t="shared" si="200"/>
        <v>668</v>
      </c>
      <c r="P220" s="147">
        <f>Q220-O220-N220-M220</f>
        <v>611</v>
      </c>
      <c r="Q220" s="37">
        <f>Q223+Q205</f>
        <v>2575</v>
      </c>
      <c r="R220" s="147">
        <f t="shared" ref="R220:T220" si="201">R223+R205</f>
        <v>623</v>
      </c>
      <c r="S220" s="147">
        <f t="shared" si="201"/>
        <v>626</v>
      </c>
      <c r="T220" s="147">
        <f t="shared" si="201"/>
        <v>620</v>
      </c>
      <c r="U220" s="147">
        <f>V220-T220-S220-R220</f>
        <v>629</v>
      </c>
      <c r="V220" s="37">
        <f>V223+V205</f>
        <v>2498</v>
      </c>
      <c r="W220" s="147">
        <f t="shared" ref="W220:Y220" si="202">W223+W205</f>
        <v>695</v>
      </c>
      <c r="X220" s="147">
        <f t="shared" si="202"/>
        <v>631</v>
      </c>
      <c r="Y220" s="147">
        <f t="shared" si="202"/>
        <v>597</v>
      </c>
      <c r="Z220" s="147">
        <f>AA220-Y220-X220-W220</f>
        <v>638</v>
      </c>
      <c r="AA220" s="37">
        <f>AA223+AA205</f>
        <v>2561</v>
      </c>
      <c r="AB220" s="147">
        <f t="shared" ref="AB220:AD220" si="203">AB223+AB205</f>
        <v>629</v>
      </c>
      <c r="AC220" s="147">
        <f t="shared" si="203"/>
        <v>661</v>
      </c>
      <c r="AD220" s="147">
        <f t="shared" si="203"/>
        <v>660</v>
      </c>
      <c r="AE220" s="147">
        <f>AF220-AD220-AC220-AB220</f>
        <v>653</v>
      </c>
      <c r="AF220" s="37">
        <f>AF223+AF205</f>
        <v>2603</v>
      </c>
      <c r="AG220" s="147">
        <f t="shared" ref="AG220:AI220" si="204">AG223+AG205</f>
        <v>664</v>
      </c>
      <c r="AH220" s="147">
        <f t="shared" si="204"/>
        <v>657</v>
      </c>
      <c r="AI220" s="147">
        <f t="shared" si="204"/>
        <v>651</v>
      </c>
      <c r="AJ220" s="147">
        <f>AK220-AI220-AH220-AG220</f>
        <v>673</v>
      </c>
      <c r="AK220" s="37">
        <v>2645</v>
      </c>
      <c r="AL220" s="147">
        <v>706</v>
      </c>
      <c r="AM220" s="147">
        <v>703</v>
      </c>
      <c r="AN220" s="147">
        <v>683</v>
      </c>
      <c r="AO220" s="147">
        <v>682</v>
      </c>
      <c r="AP220" s="37">
        <v>2774</v>
      </c>
      <c r="AQ220" s="147">
        <v>710</v>
      </c>
      <c r="AR220" s="147">
        <v>713</v>
      </c>
      <c r="AS220" s="147">
        <v>681</v>
      </c>
      <c r="AT220" s="147">
        <v>676</v>
      </c>
      <c r="AU220" s="37">
        <v>2780</v>
      </c>
      <c r="AV220" s="147">
        <v>689</v>
      </c>
      <c r="AW220" s="147">
        <v>672</v>
      </c>
      <c r="AX220" s="147">
        <v>654</v>
      </c>
      <c r="AY220" s="147">
        <v>661</v>
      </c>
      <c r="AZ220" s="37">
        <v>2676</v>
      </c>
      <c r="BA220" s="147">
        <v>672</v>
      </c>
    </row>
    <row r="221" spans="1:53" ht="11.25" customHeight="1">
      <c r="A221" s="71" t="s">
        <v>7</v>
      </c>
      <c r="B221" s="24"/>
      <c r="C221" s="72"/>
      <c r="D221" s="72"/>
      <c r="E221" s="72"/>
      <c r="F221" s="72"/>
      <c r="G221" s="24"/>
      <c r="H221" s="72"/>
      <c r="I221" s="72">
        <f>I220/H220-1</f>
        <v>2.3885350318471277E-2</v>
      </c>
      <c r="J221" s="72">
        <f>J220/I220-1</f>
        <v>-9.3312597200622127E-3</v>
      </c>
      <c r="K221" s="72">
        <f>K220/J220-1</f>
        <v>-4.081632653061229E-2</v>
      </c>
      <c r="L221" s="24"/>
      <c r="M221" s="72">
        <f>M220/K220-1</f>
        <v>3.9279869067103013E-2</v>
      </c>
      <c r="N221" s="72">
        <f>N220/M220-1</f>
        <v>4.0944881889763751E-2</v>
      </c>
      <c r="O221" s="72">
        <f>O220/N220-1</f>
        <v>1.0590015128593144E-2</v>
      </c>
      <c r="P221" s="72">
        <f>P220/O220-1</f>
        <v>-8.5329341317365248E-2</v>
      </c>
      <c r="Q221" s="24"/>
      <c r="R221" s="72">
        <f>R220/P220-1</f>
        <v>1.9639934533551617E-2</v>
      </c>
      <c r="S221" s="72">
        <f>S220/R220-1</f>
        <v>4.8154093097914075E-3</v>
      </c>
      <c r="T221" s="72">
        <f>T220/S220-1</f>
        <v>-9.5846645367412275E-3</v>
      </c>
      <c r="U221" s="72">
        <f>U220/T220-1</f>
        <v>1.4516129032257963E-2</v>
      </c>
      <c r="V221" s="24"/>
      <c r="W221" s="72">
        <f>W220/U220-1</f>
        <v>0.10492845786963434</v>
      </c>
      <c r="X221" s="72">
        <f>X220/W220-1</f>
        <v>-9.2086330935251759E-2</v>
      </c>
      <c r="Y221" s="72">
        <f>Y220/X220-1</f>
        <v>-5.3882725832012701E-2</v>
      </c>
      <c r="Z221" s="72">
        <f>Z220/Y220-1</f>
        <v>6.8676716917922986E-2</v>
      </c>
      <c r="AA221" s="24"/>
      <c r="AB221" s="72">
        <f>AB220/Z220-1</f>
        <v>-1.4106583072100332E-2</v>
      </c>
      <c r="AC221" s="72">
        <f>AC220/AB220-1</f>
        <v>5.0874403815580393E-2</v>
      </c>
      <c r="AD221" s="72">
        <f>AD220/AC220-1</f>
        <v>-1.5128593040847349E-3</v>
      </c>
      <c r="AE221" s="72">
        <f>AE220/AD220-1</f>
        <v>-1.0606060606060619E-2</v>
      </c>
      <c r="AF221" s="24"/>
      <c r="AG221" s="72">
        <f>AG220/AE220-1</f>
        <v>1.6845329249617125E-2</v>
      </c>
      <c r="AH221" s="72">
        <f>AH220/AG220-1</f>
        <v>-1.0542168674698815E-2</v>
      </c>
      <c r="AI221" s="72">
        <f>AI220/AH220-1</f>
        <v>-9.1324200913242004E-3</v>
      </c>
      <c r="AJ221" s="72">
        <f>AJ220/AI220-1</f>
        <v>3.3794162826420893E-2</v>
      </c>
      <c r="AK221" s="24"/>
      <c r="AL221" s="72">
        <v>4.9034175334323971E-2</v>
      </c>
      <c r="AM221" s="72">
        <v>-4.2492917847025691E-3</v>
      </c>
      <c r="AN221" s="72">
        <v>-2.8449502133712667E-2</v>
      </c>
      <c r="AO221" s="72">
        <v>-1.4641288433382416E-3</v>
      </c>
      <c r="AP221" s="24"/>
      <c r="AQ221" s="72">
        <v>4.1055718475073277E-2</v>
      </c>
      <c r="AR221" s="72">
        <v>4.2253521126760507E-3</v>
      </c>
      <c r="AS221" s="72">
        <v>-4.4880785413744739E-2</v>
      </c>
      <c r="AT221" s="72">
        <v>-7.342143906020504E-3</v>
      </c>
      <c r="AU221" s="24"/>
      <c r="AV221" s="72">
        <v>1.9230769230769162E-2</v>
      </c>
      <c r="AW221" s="72">
        <v>-2.4673439767779359E-2</v>
      </c>
      <c r="AX221" s="72">
        <v>-2.6785714285714302E-2</v>
      </c>
      <c r="AY221" s="72">
        <v>1.0703363914372988E-2</v>
      </c>
      <c r="AZ221" s="24"/>
      <c r="BA221" s="72">
        <v>1.6641452344931862E-2</v>
      </c>
    </row>
    <row r="222" spans="1:53" ht="10.5" customHeight="1">
      <c r="A222" s="71" t="s">
        <v>8</v>
      </c>
      <c r="B222" s="24"/>
      <c r="C222" s="73"/>
      <c r="D222" s="73"/>
      <c r="E222" s="73"/>
      <c r="F222" s="73"/>
      <c r="G222" s="24">
        <f t="shared" ref="G222" si="205">G220/B220-1</f>
        <v>5.3936494127881707E-2</v>
      </c>
      <c r="H222" s="73"/>
      <c r="I222" s="73"/>
      <c r="J222" s="73"/>
      <c r="K222" s="73"/>
      <c r="L222" s="24">
        <f t="shared" ref="L222" si="206">L220/G220-1</f>
        <v>3.962030540652095E-2</v>
      </c>
      <c r="M222" s="73">
        <f t="shared" ref="M222" si="207">M220/H220-1</f>
        <v>1.1146496815286566E-2</v>
      </c>
      <c r="N222" s="73">
        <f t="shared" ref="N222" si="208">N220/I220-1</f>
        <v>2.7993779160186527E-2</v>
      </c>
      <c r="O222" s="73">
        <f t="shared" ref="O222" si="209">O220/J220-1</f>
        <v>4.8665620094191508E-2</v>
      </c>
      <c r="P222" s="73">
        <f t="shared" ref="P222" si="210">P220/K220-1</f>
        <v>0</v>
      </c>
      <c r="Q222" s="24">
        <f t="shared" ref="Q222" si="211">Q220/L220-1</f>
        <v>2.2231044065105232E-2</v>
      </c>
      <c r="R222" s="73">
        <f t="shared" ref="R222" si="212">R220/M220-1</f>
        <v>-1.8897637795275646E-2</v>
      </c>
      <c r="S222" s="73">
        <f t="shared" ref="S222" si="213">S220/N220-1</f>
        <v>-5.2950075642965166E-2</v>
      </c>
      <c r="T222" s="73">
        <f t="shared" ref="T222" si="214">T220/O220-1</f>
        <v>-7.1856287425149712E-2</v>
      </c>
      <c r="U222" s="73">
        <f t="shared" ref="U222" si="215">U220/P220-1</f>
        <v>2.9459901800327426E-2</v>
      </c>
      <c r="V222" s="24">
        <f t="shared" ref="V222" si="216">V220/Q220-1</f>
        <v>-2.9902912621359246E-2</v>
      </c>
      <c r="W222" s="73">
        <f t="shared" ref="W222" si="217">W220/R220-1</f>
        <v>0.115569823434992</v>
      </c>
      <c r="X222" s="73">
        <f t="shared" ref="X222" si="218">X220/S220-1</f>
        <v>7.9872204472843933E-3</v>
      </c>
      <c r="Y222" s="73">
        <f t="shared" ref="Y222" si="219">Y220/T220-1</f>
        <v>-3.7096774193548399E-2</v>
      </c>
      <c r="Z222" s="73">
        <f t="shared" ref="Z222" si="220">Z220/U220-1</f>
        <v>1.4308426073131875E-2</v>
      </c>
      <c r="AA222" s="24">
        <f t="shared" ref="AA222" si="221">AA220/V220-1</f>
        <v>2.5220176140912764E-2</v>
      </c>
      <c r="AB222" s="73">
        <f t="shared" ref="AB222" si="222">AB220/W220-1</f>
        <v>-9.4964028776978404E-2</v>
      </c>
      <c r="AC222" s="73">
        <f t="shared" ref="AC222" si="223">AC220/X220-1</f>
        <v>4.7543581616481756E-2</v>
      </c>
      <c r="AD222" s="73">
        <f t="shared" ref="AD222" si="224">AD220/Y220-1</f>
        <v>0.10552763819095468</v>
      </c>
      <c r="AE222" s="73">
        <f t="shared" ref="AE222" si="225">AE220/Z220-1</f>
        <v>2.3510971786833812E-2</v>
      </c>
      <c r="AF222" s="24">
        <f t="shared" ref="AF222" si="226">AF220/AA220-1</f>
        <v>1.6399843811011339E-2</v>
      </c>
      <c r="AG222" s="73">
        <f t="shared" ref="AG222" si="227">AG220/AB220-1</f>
        <v>5.5643879173290944E-2</v>
      </c>
      <c r="AH222" s="73">
        <f t="shared" ref="AH222" si="228">AH220/AC220-1</f>
        <v>-6.0514372163388286E-3</v>
      </c>
      <c r="AI222" s="73">
        <f t="shared" ref="AI222" si="229">AI220/AD220-1</f>
        <v>-1.3636363636363669E-2</v>
      </c>
      <c r="AJ222" s="73">
        <f t="shared" ref="AJ222" si="230">AJ220/AE220-1</f>
        <v>3.0627871362940207E-2</v>
      </c>
      <c r="AK222" s="24">
        <v>1.6135228582405015E-2</v>
      </c>
      <c r="AL222" s="73">
        <v>6.3253012048192669E-2</v>
      </c>
      <c r="AM222" s="73">
        <v>7.0015220700152314E-2</v>
      </c>
      <c r="AN222" s="73">
        <v>4.9155145929339561E-2</v>
      </c>
      <c r="AO222" s="73">
        <v>1.3372956909361022E-2</v>
      </c>
      <c r="AP222" s="24">
        <v>4.8771266540642788E-2</v>
      </c>
      <c r="AQ222" s="73">
        <v>5.6657223796034994E-3</v>
      </c>
      <c r="AR222" s="73">
        <v>1.4224751066856278E-2</v>
      </c>
      <c r="AS222" s="73">
        <v>-2.9282576866763721E-3</v>
      </c>
      <c r="AT222" s="73">
        <v>-8.7976539589442737E-3</v>
      </c>
      <c r="AU222" s="24">
        <v>2.1629416005768398E-3</v>
      </c>
      <c r="AV222" s="73">
        <v>-2.9577464788732355E-2</v>
      </c>
      <c r="AW222" s="73">
        <v>-5.7503506311360475E-2</v>
      </c>
      <c r="AX222" s="73">
        <v>-3.9647577092510988E-2</v>
      </c>
      <c r="AY222" s="73">
        <v>-2.2189349112425982E-2</v>
      </c>
      <c r="AZ222" s="24">
        <v>-3.7410071942446055E-2</v>
      </c>
      <c r="BA222" s="73">
        <v>-2.4673439767779359E-2</v>
      </c>
    </row>
    <row r="223" spans="1:53" s="36" customFormat="1">
      <c r="A223" s="69" t="s">
        <v>217</v>
      </c>
      <c r="B223" s="37">
        <f>B199+B208</f>
        <v>2260</v>
      </c>
      <c r="C223" s="77">
        <f>C199+C208</f>
        <v>591</v>
      </c>
      <c r="D223" s="77">
        <f>D199+D208</f>
        <v>653</v>
      </c>
      <c r="E223" s="77">
        <f>E199+E208</f>
        <v>642</v>
      </c>
      <c r="F223" s="70">
        <f>G223-E223-D223-C223</f>
        <v>441</v>
      </c>
      <c r="G223" s="37">
        <f>G199+G208</f>
        <v>2327</v>
      </c>
      <c r="H223" s="77">
        <f>H199+H208</f>
        <v>648</v>
      </c>
      <c r="I223" s="77">
        <f>I199+I208</f>
        <v>639</v>
      </c>
      <c r="J223" s="77">
        <f>J199+J208</f>
        <v>675</v>
      </c>
      <c r="K223" s="70">
        <f>L223-J223-I223-H223</f>
        <v>355</v>
      </c>
      <c r="L223" s="37">
        <f>L199+L208</f>
        <v>2317</v>
      </c>
      <c r="M223" s="77">
        <f>M199+M208</f>
        <v>660</v>
      </c>
      <c r="N223" s="77">
        <f>N199+N208</f>
        <v>674</v>
      </c>
      <c r="O223" s="77">
        <f>O199+O208</f>
        <v>727</v>
      </c>
      <c r="P223" s="70">
        <f>Q223-O223-N223-M223</f>
        <v>672</v>
      </c>
      <c r="Q223" s="37">
        <f>Q199+Q208</f>
        <v>2733</v>
      </c>
      <c r="R223" s="77">
        <f>R199+R208</f>
        <v>373</v>
      </c>
      <c r="S223" s="77">
        <f>S199+S208</f>
        <v>688</v>
      </c>
      <c r="T223" s="77">
        <f>T199+T208</f>
        <v>726</v>
      </c>
      <c r="U223" s="70">
        <f>V223-T223-S223-R223</f>
        <v>572</v>
      </c>
      <c r="V223" s="37">
        <f>V199+V208</f>
        <v>2359</v>
      </c>
      <c r="W223" s="77">
        <f>W199+W208</f>
        <v>717</v>
      </c>
      <c r="X223" s="77">
        <f>X199+X208</f>
        <v>615</v>
      </c>
      <c r="Y223" s="77">
        <f>Y199+Y208</f>
        <v>604</v>
      </c>
      <c r="Z223" s="70">
        <f>AA223-Y223-X223-W223</f>
        <v>753</v>
      </c>
      <c r="AA223" s="37">
        <f>AA199+AA208</f>
        <v>2689</v>
      </c>
      <c r="AB223" s="77">
        <f>AB199+AB208</f>
        <v>702</v>
      </c>
      <c r="AC223" s="77">
        <f>AC199+AC208</f>
        <v>678</v>
      </c>
      <c r="AD223" s="77">
        <f>AD199+AD208</f>
        <v>668</v>
      </c>
      <c r="AE223" s="70">
        <f>AF223-AD223-AC223-AB223</f>
        <v>633</v>
      </c>
      <c r="AF223" s="37">
        <f>AF199+AF208</f>
        <v>2681</v>
      </c>
      <c r="AG223" s="77">
        <f>AG199+AG208</f>
        <v>672</v>
      </c>
      <c r="AH223" s="77">
        <f>AH199+AH208</f>
        <v>643</v>
      </c>
      <c r="AI223" s="77">
        <f>AI199+AI208</f>
        <v>676</v>
      </c>
      <c r="AJ223" s="70">
        <f>AK223-AI223-AH223-AG223</f>
        <v>677</v>
      </c>
      <c r="AK223" s="37">
        <v>2668</v>
      </c>
      <c r="AL223" s="77">
        <v>723</v>
      </c>
      <c r="AM223" s="77">
        <v>842</v>
      </c>
      <c r="AN223" s="77">
        <v>696</v>
      </c>
      <c r="AO223" s="70">
        <v>612</v>
      </c>
      <c r="AP223" s="37">
        <v>2873</v>
      </c>
      <c r="AQ223" s="77">
        <v>719</v>
      </c>
      <c r="AR223" s="77">
        <v>725</v>
      </c>
      <c r="AS223" s="77">
        <v>707</v>
      </c>
      <c r="AT223" s="70">
        <v>642</v>
      </c>
      <c r="AU223" s="37">
        <v>2793</v>
      </c>
      <c r="AV223" s="77">
        <v>693</v>
      </c>
      <c r="AW223" s="77">
        <v>673</v>
      </c>
      <c r="AX223" s="77">
        <v>678</v>
      </c>
      <c r="AY223" s="70">
        <v>655</v>
      </c>
      <c r="AZ223" s="37">
        <v>2699</v>
      </c>
      <c r="BA223" s="77">
        <v>677</v>
      </c>
    </row>
    <row r="224" spans="1:53" ht="11.1" customHeight="1">
      <c r="A224" s="71" t="s">
        <v>7</v>
      </c>
      <c r="B224" s="24"/>
      <c r="C224" s="72"/>
      <c r="D224" s="72">
        <f>D223/C223-1</f>
        <v>0.10490693739424706</v>
      </c>
      <c r="E224" s="72">
        <f>E223/D223-1</f>
        <v>-1.6845329249617125E-2</v>
      </c>
      <c r="F224" s="72">
        <f>F223/E223-1</f>
        <v>-0.31308411214953269</v>
      </c>
      <c r="G224" s="24"/>
      <c r="H224" s="72">
        <f>H223/F223-1</f>
        <v>0.46938775510204089</v>
      </c>
      <c r="I224" s="72">
        <f>I223/H223-1</f>
        <v>-1.388888888888884E-2</v>
      </c>
      <c r="J224" s="72">
        <f>J223/I223-1</f>
        <v>5.6338028169014009E-2</v>
      </c>
      <c r="K224" s="72">
        <f>K223/J223-1</f>
        <v>-0.47407407407407409</v>
      </c>
      <c r="L224" s="24"/>
      <c r="M224" s="72">
        <f>M223/K223-1</f>
        <v>0.85915492957746475</v>
      </c>
      <c r="N224" s="72">
        <f>N223/M223-1</f>
        <v>2.1212121212121238E-2</v>
      </c>
      <c r="O224" s="72">
        <f>O223/N223-1</f>
        <v>7.8635014836795358E-2</v>
      </c>
      <c r="P224" s="72">
        <f>P223/O223-1</f>
        <v>-7.5653370013755161E-2</v>
      </c>
      <c r="Q224" s="24"/>
      <c r="R224" s="72">
        <f>R223/P223-1</f>
        <v>-0.44494047619047616</v>
      </c>
      <c r="S224" s="72">
        <f>S223/R223-1</f>
        <v>0.84450402144772108</v>
      </c>
      <c r="T224" s="72">
        <f>T223/S223-1</f>
        <v>5.5232558139534982E-2</v>
      </c>
      <c r="U224" s="72">
        <f>U223/T223-1</f>
        <v>-0.21212121212121215</v>
      </c>
      <c r="V224" s="24"/>
      <c r="W224" s="72">
        <f>W223/U223-1</f>
        <v>0.25349650349650354</v>
      </c>
      <c r="X224" s="72">
        <f>X223/W223-1</f>
        <v>-0.14225941422594146</v>
      </c>
      <c r="Y224" s="72">
        <f>Y223/X223-1</f>
        <v>-1.7886178861788671E-2</v>
      </c>
      <c r="Z224" s="72">
        <f>Z223/Y223-1</f>
        <v>0.2466887417218544</v>
      </c>
      <c r="AA224" s="24"/>
      <c r="AB224" s="72">
        <f>AB223/Z223-1</f>
        <v>-6.7729083665338696E-2</v>
      </c>
      <c r="AC224" s="72">
        <f>AC223/AB223-1</f>
        <v>-3.4188034188034178E-2</v>
      </c>
      <c r="AD224" s="72">
        <f>AD223/AC223-1</f>
        <v>-1.4749262536873142E-2</v>
      </c>
      <c r="AE224" s="72">
        <f>AE223/AD223-1</f>
        <v>-5.239520958083832E-2</v>
      </c>
      <c r="AF224" s="24"/>
      <c r="AG224" s="72">
        <f>AG223/AE223-1</f>
        <v>6.1611374407583019E-2</v>
      </c>
      <c r="AH224" s="72">
        <f>AH223/AG223-1</f>
        <v>-4.3154761904761862E-2</v>
      </c>
      <c r="AI224" s="72">
        <f>AI223/AH223-1</f>
        <v>5.1321928460342114E-2</v>
      </c>
      <c r="AJ224" s="72">
        <f>AJ223/AI223-1</f>
        <v>1.4792899408284654E-3</v>
      </c>
      <c r="AK224" s="24"/>
      <c r="AL224" s="72">
        <v>6.794682422452003E-2</v>
      </c>
      <c r="AM224" s="72">
        <v>0.16459197786998625</v>
      </c>
      <c r="AN224" s="72">
        <v>-0.17339667458432306</v>
      </c>
      <c r="AO224" s="72">
        <v>-0.12068965517241381</v>
      </c>
      <c r="AP224" s="24"/>
      <c r="AQ224" s="72">
        <v>0.17483660130718959</v>
      </c>
      <c r="AR224" s="72">
        <v>8.3449235048678183E-3</v>
      </c>
      <c r="AS224" s="72">
        <v>-2.4827586206896513E-2</v>
      </c>
      <c r="AT224" s="72">
        <v>-9.1937765205091893E-2</v>
      </c>
      <c r="AU224" s="24"/>
      <c r="AV224" s="72">
        <v>7.9439252336448662E-2</v>
      </c>
      <c r="AW224" s="72">
        <v>-2.8860028860028808E-2</v>
      </c>
      <c r="AX224" s="72">
        <v>7.429420505200568E-3</v>
      </c>
      <c r="AY224" s="72">
        <v>-3.3923303834808238E-2</v>
      </c>
      <c r="AZ224" s="24"/>
      <c r="BA224" s="72">
        <v>3.3587786259541952E-2</v>
      </c>
    </row>
    <row r="225" spans="1:53" ht="10.15" customHeight="1">
      <c r="A225" s="71" t="s">
        <v>8</v>
      </c>
      <c r="B225" s="24"/>
      <c r="C225" s="73"/>
      <c r="D225" s="73"/>
      <c r="E225" s="73"/>
      <c r="F225" s="73"/>
      <c r="G225" s="24">
        <f t="shared" ref="G225:BA225" si="231">G223/B223-1</f>
        <v>2.9646017699115124E-2</v>
      </c>
      <c r="H225" s="73">
        <f t="shared" si="231"/>
        <v>9.6446700507614169E-2</v>
      </c>
      <c r="I225" s="73">
        <f t="shared" si="231"/>
        <v>-2.1439509954058189E-2</v>
      </c>
      <c r="J225" s="73">
        <f t="shared" si="231"/>
        <v>5.1401869158878455E-2</v>
      </c>
      <c r="K225" s="73">
        <f t="shared" si="231"/>
        <v>-0.19501133786848068</v>
      </c>
      <c r="L225" s="24">
        <f t="shared" si="231"/>
        <v>-4.2973785990545466E-3</v>
      </c>
      <c r="M225" s="73">
        <f t="shared" si="231"/>
        <v>1.8518518518518601E-2</v>
      </c>
      <c r="N225" s="73">
        <f t="shared" si="231"/>
        <v>5.4773082942096929E-2</v>
      </c>
      <c r="O225" s="73">
        <f t="shared" si="231"/>
        <v>7.7037037037037015E-2</v>
      </c>
      <c r="P225" s="73">
        <f t="shared" si="231"/>
        <v>0.89295774647887316</v>
      </c>
      <c r="Q225" s="24">
        <f t="shared" si="231"/>
        <v>0.17954251186879588</v>
      </c>
      <c r="R225" s="73">
        <f t="shared" si="231"/>
        <v>-0.43484848484848482</v>
      </c>
      <c r="S225" s="73">
        <f t="shared" si="231"/>
        <v>2.0771513353115667E-2</v>
      </c>
      <c r="T225" s="73">
        <f t="shared" si="231"/>
        <v>-1.3755158184318717E-3</v>
      </c>
      <c r="U225" s="73">
        <f t="shared" si="231"/>
        <v>-0.14880952380952384</v>
      </c>
      <c r="V225" s="24">
        <f t="shared" si="231"/>
        <v>-0.13684595682400291</v>
      </c>
      <c r="W225" s="73">
        <f t="shared" si="231"/>
        <v>0.92225201072386054</v>
      </c>
      <c r="X225" s="73">
        <f t="shared" si="231"/>
        <v>-0.10610465116279066</v>
      </c>
      <c r="Y225" s="73">
        <f t="shared" si="231"/>
        <v>-0.16804407713498626</v>
      </c>
      <c r="Z225" s="73">
        <f t="shared" si="231"/>
        <v>0.31643356643356646</v>
      </c>
      <c r="AA225" s="24">
        <f t="shared" si="231"/>
        <v>0.1398897838066977</v>
      </c>
      <c r="AB225" s="73">
        <f t="shared" si="231"/>
        <v>-2.0920502092050208E-2</v>
      </c>
      <c r="AC225" s="73">
        <f t="shared" si="231"/>
        <v>0.10243902439024399</v>
      </c>
      <c r="AD225" s="73">
        <f t="shared" si="231"/>
        <v>0.10596026490066235</v>
      </c>
      <c r="AE225" s="73">
        <f t="shared" si="231"/>
        <v>-0.15936254980079678</v>
      </c>
      <c r="AF225" s="24">
        <f t="shared" si="231"/>
        <v>-2.9750836742283848E-3</v>
      </c>
      <c r="AG225" s="73">
        <f t="shared" si="231"/>
        <v>-4.2735042735042694E-2</v>
      </c>
      <c r="AH225" s="73">
        <f t="shared" si="231"/>
        <v>-5.1622418879056053E-2</v>
      </c>
      <c r="AI225" s="73">
        <f t="shared" si="231"/>
        <v>1.1976047904191711E-2</v>
      </c>
      <c r="AJ225" s="73">
        <f t="shared" si="231"/>
        <v>6.9510268562401167E-2</v>
      </c>
      <c r="AK225" s="24">
        <v>-4.8489369638194946E-3</v>
      </c>
      <c r="AL225" s="73">
        <v>7.5892857142857206E-2</v>
      </c>
      <c r="AM225" s="73">
        <v>0.30948678071539648</v>
      </c>
      <c r="AN225" s="73">
        <v>2.9585798816567976E-2</v>
      </c>
      <c r="AO225" s="73">
        <v>-9.6011816838995623E-2</v>
      </c>
      <c r="AP225" s="24">
        <v>7.6836581709145424E-2</v>
      </c>
      <c r="AQ225" s="73">
        <v>-5.5325034578146415E-3</v>
      </c>
      <c r="AR225" s="73">
        <v>-0.13895486935866985</v>
      </c>
      <c r="AS225" s="73">
        <v>1.5804597701149392E-2</v>
      </c>
      <c r="AT225" s="73">
        <v>4.9019607843137303E-2</v>
      </c>
      <c r="AU225" s="24">
        <v>-2.7845457709711141E-2</v>
      </c>
      <c r="AV225" s="73">
        <v>-3.6161335187760768E-2</v>
      </c>
      <c r="AW225" s="73">
        <v>-7.1724137931034493E-2</v>
      </c>
      <c r="AX225" s="73">
        <v>-4.1018387553040991E-2</v>
      </c>
      <c r="AY225" s="73">
        <v>2.024922118380057E-2</v>
      </c>
      <c r="AZ225" s="24">
        <v>-3.365556749015397E-2</v>
      </c>
      <c r="BA225" s="73">
        <v>-2.3088023088023046E-2</v>
      </c>
    </row>
    <row r="226" spans="1:53" ht="12" customHeight="1">
      <c r="A226" s="69" t="s">
        <v>275</v>
      </c>
      <c r="B226" s="24"/>
      <c r="C226" s="73"/>
      <c r="D226" s="73"/>
      <c r="E226" s="73"/>
      <c r="F226" s="73"/>
      <c r="G226" s="24"/>
      <c r="H226" s="73"/>
      <c r="I226" s="73"/>
      <c r="J226" s="73"/>
      <c r="K226" s="73"/>
      <c r="L226" s="24"/>
      <c r="M226" s="73"/>
      <c r="N226" s="73"/>
      <c r="O226" s="73"/>
      <c r="P226" s="73"/>
      <c r="Q226" s="24"/>
      <c r="R226" s="73"/>
      <c r="S226" s="73"/>
      <c r="T226" s="73"/>
      <c r="U226" s="73"/>
      <c r="V226" s="24"/>
      <c r="W226" s="73"/>
      <c r="X226" s="73"/>
      <c r="Y226" s="73"/>
      <c r="Z226" s="73"/>
      <c r="AA226" s="24"/>
      <c r="AB226" s="73"/>
      <c r="AC226" s="73"/>
      <c r="AD226" s="73"/>
      <c r="AE226" s="73"/>
      <c r="AF226" s="24"/>
      <c r="AG226" s="73"/>
      <c r="AH226" s="73"/>
      <c r="AI226" s="73"/>
      <c r="AJ226" s="73"/>
      <c r="AK226" s="24"/>
      <c r="AL226" s="73"/>
      <c r="AM226" s="73"/>
      <c r="AN226" s="73"/>
      <c r="AO226" s="73"/>
      <c r="AP226" s="24"/>
      <c r="AQ226" s="73"/>
      <c r="AR226" s="73"/>
      <c r="AS226" s="73"/>
      <c r="AT226" s="73"/>
      <c r="AU226" s="24"/>
      <c r="AV226" s="73"/>
      <c r="AW226" s="73"/>
      <c r="AX226" s="73"/>
      <c r="AY226" s="73"/>
      <c r="AZ226" s="24"/>
      <c r="BA226" s="77">
        <v>654</v>
      </c>
    </row>
    <row r="227" spans="1:53">
      <c r="A227" s="40" t="s">
        <v>81</v>
      </c>
      <c r="B227" s="41"/>
      <c r="C227" s="49"/>
      <c r="D227" s="49"/>
      <c r="E227" s="49"/>
      <c r="F227" s="49"/>
      <c r="G227" s="41"/>
      <c r="H227" s="49"/>
      <c r="I227" s="49"/>
      <c r="J227" s="49"/>
      <c r="K227" s="49"/>
      <c r="L227" s="41"/>
      <c r="M227" s="49"/>
      <c r="N227" s="49"/>
      <c r="O227" s="49"/>
      <c r="P227" s="49"/>
      <c r="Q227" s="41"/>
      <c r="R227" s="49"/>
      <c r="S227" s="49"/>
      <c r="T227" s="49"/>
      <c r="U227" s="49"/>
      <c r="V227" s="41"/>
      <c r="W227" s="49"/>
      <c r="X227" s="49"/>
      <c r="Y227" s="49"/>
      <c r="Z227" s="49"/>
      <c r="AA227" s="41"/>
      <c r="AB227" s="49"/>
      <c r="AC227" s="49"/>
      <c r="AD227" s="49"/>
      <c r="AE227" s="49"/>
      <c r="AF227" s="41"/>
      <c r="AG227" s="49"/>
      <c r="AH227" s="49"/>
      <c r="AI227" s="49"/>
      <c r="AJ227" s="49"/>
      <c r="AK227" s="41"/>
      <c r="AL227" s="49"/>
      <c r="AM227" s="49"/>
      <c r="AN227" s="49"/>
      <c r="AO227" s="49"/>
      <c r="AP227" s="41"/>
      <c r="AQ227" s="49"/>
      <c r="AR227" s="49"/>
      <c r="AS227" s="49"/>
      <c r="AT227" s="49"/>
      <c r="AU227" s="41"/>
      <c r="AV227" s="49"/>
      <c r="AW227" s="49"/>
      <c r="AX227" s="49"/>
      <c r="AY227" s="49"/>
      <c r="AZ227" s="41"/>
      <c r="BA227" s="49"/>
    </row>
    <row r="228" spans="1:53">
      <c r="A228" s="69" t="s">
        <v>12</v>
      </c>
      <c r="B228" s="65">
        <v>1379</v>
      </c>
      <c r="C228" s="80" t="s">
        <v>53</v>
      </c>
      <c r="D228" s="80" t="s">
        <v>53</v>
      </c>
      <c r="E228" s="80" t="s">
        <v>53</v>
      </c>
      <c r="F228" s="80" t="s">
        <v>53</v>
      </c>
      <c r="G228" s="65">
        <v>1691</v>
      </c>
      <c r="H228" s="70">
        <v>635</v>
      </c>
      <c r="I228" s="70">
        <v>408</v>
      </c>
      <c r="J228" s="70">
        <v>526</v>
      </c>
      <c r="K228" s="70">
        <f>L228-J228-I228-H228</f>
        <v>651</v>
      </c>
      <c r="L228" s="65">
        <v>2220</v>
      </c>
      <c r="M228" s="70">
        <v>393</v>
      </c>
      <c r="N228" s="70">
        <v>523</v>
      </c>
      <c r="O228" s="70">
        <v>684</v>
      </c>
      <c r="P228" s="70">
        <f>Q228-O228-N228-M228</f>
        <v>540</v>
      </c>
      <c r="Q228" s="65">
        <v>2140</v>
      </c>
      <c r="R228" s="70">
        <f>419</f>
        <v>419</v>
      </c>
      <c r="S228" s="70">
        <v>496</v>
      </c>
      <c r="T228" s="70">
        <v>641</v>
      </c>
      <c r="U228" s="70">
        <f>V228-T228-S228-R228</f>
        <v>549.93499999999995</v>
      </c>
      <c r="V228" s="65">
        <v>2105.9349999999999</v>
      </c>
      <c r="W228" s="70">
        <v>651</v>
      </c>
      <c r="X228" s="70">
        <v>376</v>
      </c>
      <c r="Y228" s="70">
        <v>470</v>
      </c>
      <c r="Z228" s="70">
        <f>AA228-Y228-X228-W228</f>
        <v>512</v>
      </c>
      <c r="AA228" s="65">
        <v>2009</v>
      </c>
      <c r="AB228" s="70">
        <v>561</v>
      </c>
      <c r="AC228" s="70">
        <v>556</v>
      </c>
      <c r="AD228" s="70">
        <v>631</v>
      </c>
      <c r="AE228" s="70">
        <f>AF228-AD228-AC228-AB228</f>
        <v>526</v>
      </c>
      <c r="AF228" s="65">
        <v>2274</v>
      </c>
      <c r="AG228" s="70">
        <v>616</v>
      </c>
      <c r="AH228" s="70">
        <v>545</v>
      </c>
      <c r="AI228" s="70">
        <v>599</v>
      </c>
      <c r="AJ228" s="70">
        <f>AK228-AI228-AH228-AG228</f>
        <v>499</v>
      </c>
      <c r="AK228" s="65">
        <v>2259</v>
      </c>
      <c r="AL228" s="70">
        <v>548</v>
      </c>
      <c r="AM228" s="70">
        <v>456</v>
      </c>
      <c r="AN228" s="70">
        <v>686</v>
      </c>
      <c r="AO228" s="70">
        <v>668</v>
      </c>
      <c r="AP228" s="65">
        <v>2358</v>
      </c>
      <c r="AQ228" s="70">
        <v>539</v>
      </c>
      <c r="AR228" s="70">
        <v>517</v>
      </c>
      <c r="AS228" s="70">
        <v>526</v>
      </c>
      <c r="AT228" s="70">
        <v>482</v>
      </c>
      <c r="AU228" s="65">
        <v>2064</v>
      </c>
      <c r="AV228" s="70">
        <v>600</v>
      </c>
      <c r="AW228" s="70">
        <v>465</v>
      </c>
      <c r="AX228" s="70">
        <v>573</v>
      </c>
      <c r="AY228" s="70">
        <v>587</v>
      </c>
      <c r="AZ228" s="65">
        <v>2225</v>
      </c>
      <c r="BA228" s="70">
        <v>516</v>
      </c>
    </row>
    <row r="229" spans="1:53" ht="10.15" customHeight="1">
      <c r="A229" s="71" t="s">
        <v>7</v>
      </c>
      <c r="B229" s="24"/>
      <c r="C229" s="72"/>
      <c r="D229" s="72"/>
      <c r="E229" s="72"/>
      <c r="F229" s="72"/>
      <c r="G229" s="24"/>
      <c r="H229" s="72"/>
      <c r="I229" s="72">
        <f>I228/H228-1</f>
        <v>-0.35748031496062993</v>
      </c>
      <c r="J229" s="72">
        <f>J228/I228-1</f>
        <v>0.28921568627450989</v>
      </c>
      <c r="K229" s="73">
        <f>K228/J228-1</f>
        <v>0.23764258555133089</v>
      </c>
      <c r="L229" s="24"/>
      <c r="M229" s="72">
        <f>M228/K228-1</f>
        <v>-0.39631336405529949</v>
      </c>
      <c r="N229" s="72">
        <f>N228/M228-1</f>
        <v>0.33078880407124678</v>
      </c>
      <c r="O229" s="72">
        <f>O228/N228-1</f>
        <v>0.30783938814531542</v>
      </c>
      <c r="P229" s="72">
        <f>P228/O228-1</f>
        <v>-0.21052631578947367</v>
      </c>
      <c r="Q229" s="24"/>
      <c r="R229" s="72">
        <f>R228/P228-1</f>
        <v>-0.22407407407407409</v>
      </c>
      <c r="S229" s="72">
        <f>S228/R228-1</f>
        <v>0.18377088305489253</v>
      </c>
      <c r="T229" s="72">
        <f>T228/S228-1</f>
        <v>0.29233870967741926</v>
      </c>
      <c r="U229" s="72">
        <f>U228/T228-1</f>
        <v>-0.14206708268330737</v>
      </c>
      <c r="V229" s="24"/>
      <c r="W229" s="72">
        <f>W228/U228-1</f>
        <v>0.18377626446761908</v>
      </c>
      <c r="X229" s="72">
        <f>X228/W228-1</f>
        <v>-0.42242703533026116</v>
      </c>
      <c r="Y229" s="72">
        <f>Y228/X228-1</f>
        <v>0.25</v>
      </c>
      <c r="Z229" s="72">
        <f>Z228/Y228-1</f>
        <v>8.9361702127659592E-2</v>
      </c>
      <c r="AA229" s="24"/>
      <c r="AB229" s="72">
        <f>AB228/Z228-1</f>
        <v>9.5703125E-2</v>
      </c>
      <c r="AC229" s="72">
        <f>AC228/AB228-1</f>
        <v>-8.9126559714794995E-3</v>
      </c>
      <c r="AD229" s="72">
        <f>AD228/AC228-1</f>
        <v>0.1348920863309353</v>
      </c>
      <c r="AE229" s="72">
        <f>AE228/AD228-1</f>
        <v>-0.16640253565768626</v>
      </c>
      <c r="AF229" s="24"/>
      <c r="AG229" s="72">
        <f>AG228/AE228-1</f>
        <v>0.17110266159695819</v>
      </c>
      <c r="AH229" s="72">
        <f>AH228/AG228-1</f>
        <v>-0.11525974025974028</v>
      </c>
      <c r="AI229" s="72">
        <f>AI228/AH228-1</f>
        <v>9.9082568807339344E-2</v>
      </c>
      <c r="AJ229" s="72">
        <f>AJ228/AI228-1</f>
        <v>-0.1669449081803005</v>
      </c>
      <c r="AK229" s="24"/>
      <c r="AL229" s="72">
        <v>9.8196392785571129E-2</v>
      </c>
      <c r="AM229" s="72">
        <v>-0.16788321167883213</v>
      </c>
      <c r="AN229" s="72">
        <v>0.5043859649122806</v>
      </c>
      <c r="AO229" s="72">
        <v>-2.6239067055393583E-2</v>
      </c>
      <c r="AP229" s="24"/>
      <c r="AQ229" s="72">
        <v>-0.19311377245508987</v>
      </c>
      <c r="AR229" s="72">
        <v>-4.081632653061229E-2</v>
      </c>
      <c r="AS229" s="72">
        <v>1.740812379110257E-2</v>
      </c>
      <c r="AT229" s="72">
        <v>-8.365019011406849E-2</v>
      </c>
      <c r="AU229" s="24"/>
      <c r="AV229" s="72">
        <v>0.24481327800829877</v>
      </c>
      <c r="AW229" s="72">
        <v>-0.22499999999999998</v>
      </c>
      <c r="AX229" s="72">
        <v>0.23225806451612896</v>
      </c>
      <c r="AY229" s="72">
        <v>2.4432809773123898E-2</v>
      </c>
      <c r="AZ229" s="24"/>
      <c r="BA229" s="72">
        <v>-0.12095400340715501</v>
      </c>
    </row>
    <row r="230" spans="1:53" ht="11.1" customHeight="1">
      <c r="A230" s="71" t="s">
        <v>8</v>
      </c>
      <c r="B230" s="24"/>
      <c r="C230" s="73"/>
      <c r="D230" s="73"/>
      <c r="E230" s="73"/>
      <c r="F230" s="73"/>
      <c r="G230" s="24">
        <f>G228/B228-1</f>
        <v>0.22625090645395218</v>
      </c>
      <c r="H230" s="73"/>
      <c r="I230" s="73"/>
      <c r="J230" s="73"/>
      <c r="L230" s="24">
        <f t="shared" ref="L230:R230" si="232">L228/G228-1</f>
        <v>0.31283264340626848</v>
      </c>
      <c r="M230" s="73">
        <f t="shared" si="232"/>
        <v>-0.38110236220472438</v>
      </c>
      <c r="N230" s="73">
        <f t="shared" si="232"/>
        <v>0.28186274509803932</v>
      </c>
      <c r="O230" s="73">
        <f t="shared" si="232"/>
        <v>0.30038022813688214</v>
      </c>
      <c r="P230" s="73">
        <f t="shared" si="232"/>
        <v>-0.17050691244239635</v>
      </c>
      <c r="Q230" s="24">
        <f t="shared" si="232"/>
        <v>-3.6036036036036001E-2</v>
      </c>
      <c r="R230" s="73">
        <f t="shared" si="232"/>
        <v>6.61577608142494E-2</v>
      </c>
      <c r="S230" s="73">
        <f t="shared" ref="S230:Y230" si="233">S228/N228-1</f>
        <v>-5.1625239005736123E-2</v>
      </c>
      <c r="T230" s="73">
        <f t="shared" si="233"/>
        <v>-6.2865497076023402E-2</v>
      </c>
      <c r="U230" s="73">
        <f t="shared" si="233"/>
        <v>1.8398148148148108E-2</v>
      </c>
      <c r="V230" s="24">
        <f t="shared" si="233"/>
        <v>-1.591822429906542E-2</v>
      </c>
      <c r="W230" s="73">
        <f t="shared" si="233"/>
        <v>0.55369928400954649</v>
      </c>
      <c r="X230" s="73">
        <f t="shared" si="233"/>
        <v>-0.24193548387096775</v>
      </c>
      <c r="Y230" s="73">
        <f t="shared" si="233"/>
        <v>-0.26677067082683303</v>
      </c>
      <c r="Z230" s="73">
        <f t="shared" ref="Z230:AI230" si="234">Z228/U228-1</f>
        <v>-6.8980879558493191E-2</v>
      </c>
      <c r="AA230" s="24">
        <f t="shared" si="234"/>
        <v>-4.6029435856282386E-2</v>
      </c>
      <c r="AB230" s="73">
        <f t="shared" si="234"/>
        <v>-0.13824884792626724</v>
      </c>
      <c r="AC230" s="73">
        <f t="shared" si="234"/>
        <v>0.47872340425531923</v>
      </c>
      <c r="AD230" s="73">
        <f t="shared" si="234"/>
        <v>0.34255319148936181</v>
      </c>
      <c r="AE230" s="73">
        <f t="shared" si="234"/>
        <v>2.734375E-2</v>
      </c>
      <c r="AF230" s="24">
        <f t="shared" si="234"/>
        <v>0.13190642110502737</v>
      </c>
      <c r="AG230" s="73">
        <f t="shared" si="234"/>
        <v>9.8039215686274606E-2</v>
      </c>
      <c r="AH230" s="73">
        <f t="shared" si="234"/>
        <v>-1.9784172661870492E-2</v>
      </c>
      <c r="AI230" s="73">
        <f t="shared" si="234"/>
        <v>-5.0713153724247229E-2</v>
      </c>
      <c r="AJ230" s="73">
        <f t="shared" ref="AJ230:AS230" si="235">AJ228/AE228-1</f>
        <v>-5.1330798479087503E-2</v>
      </c>
      <c r="AK230" s="24">
        <v>-6.5963060686016206E-3</v>
      </c>
      <c r="AL230" s="73">
        <v>-0.11038961038961037</v>
      </c>
      <c r="AM230" s="73">
        <v>-0.16330275229357794</v>
      </c>
      <c r="AN230" s="73">
        <v>0.14524207011686152</v>
      </c>
      <c r="AO230" s="73">
        <v>0.33867735470941884</v>
      </c>
      <c r="AP230" s="24">
        <v>4.3824701195219085E-2</v>
      </c>
      <c r="AQ230" s="73">
        <v>-1.6423357664233529E-2</v>
      </c>
      <c r="AR230" s="73">
        <v>0.13377192982456143</v>
      </c>
      <c r="AS230" s="73">
        <v>-0.23323615160349853</v>
      </c>
      <c r="AT230" s="73">
        <v>-0.27844311377245512</v>
      </c>
      <c r="AU230" s="24">
        <v>-0.12468193384223913</v>
      </c>
      <c r="AV230" s="73">
        <v>0.1131725417439704</v>
      </c>
      <c r="AW230" s="73">
        <v>-0.10058027079303677</v>
      </c>
      <c r="AX230" s="73">
        <v>8.9353612167300422E-2</v>
      </c>
      <c r="AY230" s="73">
        <v>0.21784232365145217</v>
      </c>
      <c r="AZ230" s="24">
        <v>7.8003875968992276E-2</v>
      </c>
      <c r="BA230" s="73">
        <v>-0.14000000000000001</v>
      </c>
    </row>
    <row r="231" spans="1:53" hidden="1">
      <c r="A231" s="69" t="s">
        <v>50</v>
      </c>
      <c r="B231" s="37">
        <v>513</v>
      </c>
      <c r="C231" s="70">
        <v>128</v>
      </c>
      <c r="D231" s="70">
        <v>139</v>
      </c>
      <c r="E231" s="70">
        <v>112</v>
      </c>
      <c r="F231" s="70">
        <f>G231-E231-D231-C231</f>
        <v>221</v>
      </c>
      <c r="G231" s="37">
        <f>554+46</f>
        <v>600</v>
      </c>
      <c r="H231" s="70">
        <v>210</v>
      </c>
      <c r="I231" s="70">
        <v>209</v>
      </c>
      <c r="J231" s="70">
        <v>191</v>
      </c>
      <c r="K231" s="70">
        <f>L231-J231-I231-H231</f>
        <v>234</v>
      </c>
      <c r="L231" s="37">
        <v>844</v>
      </c>
      <c r="M231" s="70">
        <v>228</v>
      </c>
      <c r="N231" s="70">
        <v>269</v>
      </c>
      <c r="O231" s="70">
        <v>250</v>
      </c>
      <c r="P231" s="70">
        <v>294</v>
      </c>
      <c r="Q231" s="37">
        <f>P231+O231+N231+M231</f>
        <v>1041</v>
      </c>
      <c r="R231" s="70">
        <v>340</v>
      </c>
      <c r="S231" s="70">
        <v>310</v>
      </c>
      <c r="T231" s="70">
        <v>243</v>
      </c>
      <c r="U231" s="70">
        <f>V231-T231-S231-R231</f>
        <v>281</v>
      </c>
      <c r="V231" s="37">
        <v>1174</v>
      </c>
      <c r="W231" s="70">
        <v>262</v>
      </c>
      <c r="X231" s="70">
        <v>239</v>
      </c>
      <c r="Y231" s="70">
        <v>238</v>
      </c>
      <c r="Z231" s="70">
        <v>206</v>
      </c>
      <c r="AA231" s="37">
        <f>Z231+Y231+X231+W231</f>
        <v>945</v>
      </c>
      <c r="AB231" s="70">
        <v>164</v>
      </c>
      <c r="AC231" s="70">
        <v>197</v>
      </c>
      <c r="AD231" s="70">
        <v>191</v>
      </c>
      <c r="AE231" s="70">
        <v>225</v>
      </c>
      <c r="AF231" s="37">
        <f>AE231+AD231+AC231+AB231</f>
        <v>777</v>
      </c>
      <c r="AG231" s="70">
        <v>215</v>
      </c>
      <c r="AH231" s="70">
        <v>215</v>
      </c>
      <c r="AI231" s="70">
        <v>198</v>
      </c>
      <c r="AJ231" s="70">
        <f>AK231-AI231-AH231-AG231</f>
        <v>207</v>
      </c>
      <c r="AK231" s="37">
        <v>835</v>
      </c>
      <c r="AL231" s="70">
        <v>228</v>
      </c>
      <c r="AM231" s="70">
        <v>203</v>
      </c>
      <c r="AN231" s="70">
        <v>208</v>
      </c>
      <c r="AO231" s="70">
        <v>198</v>
      </c>
      <c r="AP231" s="37">
        <v>837</v>
      </c>
      <c r="AQ231" s="70">
        <v>222</v>
      </c>
      <c r="AR231" s="70">
        <v>203</v>
      </c>
      <c r="AS231" s="70">
        <v>204</v>
      </c>
      <c r="AT231" s="70"/>
      <c r="AU231" s="37"/>
      <c r="AV231" s="70">
        <v>222</v>
      </c>
      <c r="AW231" s="70">
        <v>222</v>
      </c>
      <c r="AX231" s="70">
        <v>222</v>
      </c>
      <c r="AY231" s="70"/>
      <c r="AZ231" s="37"/>
      <c r="BA231" s="70">
        <v>222</v>
      </c>
    </row>
    <row r="232" spans="1:53" hidden="1">
      <c r="A232" s="71" t="s">
        <v>7</v>
      </c>
      <c r="B232" s="24"/>
      <c r="C232" s="72"/>
      <c r="D232" s="72">
        <f>D231/C231-1</f>
        <v>8.59375E-2</v>
      </c>
      <c r="E232" s="72">
        <f>E231/D231-1</f>
        <v>-0.19424460431654678</v>
      </c>
      <c r="F232" s="72">
        <f>F231/E231-1</f>
        <v>0.97321428571428581</v>
      </c>
      <c r="G232" s="24"/>
      <c r="H232" s="72">
        <f>H231/F231-1</f>
        <v>-4.9773755656108642E-2</v>
      </c>
      <c r="I232" s="72">
        <f>I231/H231-1</f>
        <v>-4.761904761904745E-3</v>
      </c>
      <c r="J232" s="72">
        <f>J231/I231-1</f>
        <v>-8.6124401913875603E-2</v>
      </c>
      <c r="K232" s="72">
        <f>K231/J231-1</f>
        <v>0.22513089005235609</v>
      </c>
      <c r="L232" s="24"/>
      <c r="M232" s="72">
        <f>M231/K231-1</f>
        <v>-2.5641025641025661E-2</v>
      </c>
      <c r="N232" s="72">
        <f>N231/M231-1</f>
        <v>0.17982456140350878</v>
      </c>
      <c r="O232" s="72">
        <f>O231/N231-1</f>
        <v>-7.0631970260223054E-2</v>
      </c>
      <c r="P232" s="72">
        <f>P231/O231-1</f>
        <v>0.17599999999999993</v>
      </c>
      <c r="Q232" s="24"/>
      <c r="R232" s="72">
        <f>R231/P231-1</f>
        <v>0.15646258503401356</v>
      </c>
      <c r="S232" s="72">
        <f>S231/R231-1</f>
        <v>-8.8235294117647078E-2</v>
      </c>
      <c r="T232" s="72">
        <f>T231/S231-1</f>
        <v>-0.21612903225806457</v>
      </c>
      <c r="U232" s="72">
        <f>U231/T231-1</f>
        <v>0.15637860082304522</v>
      </c>
      <c r="V232" s="24"/>
      <c r="W232" s="72">
        <f>W231/U231-1</f>
        <v>-6.7615658362989328E-2</v>
      </c>
      <c r="X232" s="72">
        <f>X231/W231-1</f>
        <v>-8.7786259541984712E-2</v>
      </c>
      <c r="Y232" s="72">
        <f>Y231/X231-1</f>
        <v>-4.1841004184099972E-3</v>
      </c>
      <c r="Z232" s="72">
        <f>Z231/Y231-1</f>
        <v>-0.13445378151260501</v>
      </c>
      <c r="AA232" s="24"/>
      <c r="AB232" s="72">
        <f>AB231/Z231-1</f>
        <v>-0.20388349514563109</v>
      </c>
      <c r="AC232" s="72">
        <f>AC231/AB231-1</f>
        <v>0.20121951219512191</v>
      </c>
      <c r="AD232" s="72">
        <f>AD231/AC231-1</f>
        <v>-3.0456852791878153E-2</v>
      </c>
      <c r="AE232" s="72">
        <f>AE231/AD231-1</f>
        <v>0.17801047120418856</v>
      </c>
      <c r="AF232" s="24"/>
      <c r="AG232" s="72">
        <f>AG231/AE231-1</f>
        <v>-4.4444444444444398E-2</v>
      </c>
      <c r="AH232" s="72">
        <f>AH231/AG231-1</f>
        <v>0</v>
      </c>
      <c r="AI232" s="72">
        <f>AI231/AH231-1</f>
        <v>-7.906976744186045E-2</v>
      </c>
      <c r="AJ232" s="72">
        <f>AJ231/AI231-1</f>
        <v>4.5454545454545414E-2</v>
      </c>
      <c r="AK232" s="24"/>
      <c r="AL232" s="72">
        <v>0.10144927536231885</v>
      </c>
      <c r="AM232" s="72">
        <v>-0.10964912280701755</v>
      </c>
      <c r="AN232" s="72">
        <v>2.4630541871921263E-2</v>
      </c>
      <c r="AO232" s="72">
        <v>-4.8076923076923128E-2</v>
      </c>
      <c r="AP232" s="24"/>
      <c r="AQ232" s="72">
        <v>0.1212121212121211</v>
      </c>
      <c r="AR232" s="72">
        <v>-8.55855855855856E-2</v>
      </c>
      <c r="AS232" s="72">
        <v>4.9261083743843415E-3</v>
      </c>
      <c r="AT232" s="72"/>
      <c r="AU232" s="24"/>
      <c r="AV232" s="72" t="e">
        <v>#DIV/0!</v>
      </c>
      <c r="AW232" s="72" t="e">
        <v>#DIV/0!</v>
      </c>
      <c r="AX232" s="72">
        <v>0</v>
      </c>
      <c r="AY232" s="72"/>
      <c r="AZ232" s="24"/>
      <c r="BA232" s="72" t="e">
        <v>#DIV/0!</v>
      </c>
    </row>
    <row r="233" spans="1:53" hidden="1">
      <c r="A233" s="71" t="s">
        <v>8</v>
      </c>
      <c r="B233" s="24"/>
      <c r="C233" s="73"/>
      <c r="D233" s="73"/>
      <c r="E233" s="73"/>
      <c r="F233" s="73"/>
      <c r="G233" s="24">
        <f t="shared" ref="G233:N233" si="236">G231/B231-1</f>
        <v>0.16959064327485374</v>
      </c>
      <c r="H233" s="73">
        <f t="shared" si="236"/>
        <v>0.640625</v>
      </c>
      <c r="I233" s="73">
        <f t="shared" si="236"/>
        <v>0.50359712230215825</v>
      </c>
      <c r="J233" s="73">
        <f t="shared" si="236"/>
        <v>0.70535714285714279</v>
      </c>
      <c r="K233" s="73">
        <f t="shared" si="236"/>
        <v>5.8823529411764719E-2</v>
      </c>
      <c r="L233" s="24">
        <f t="shared" si="236"/>
        <v>0.40666666666666673</v>
      </c>
      <c r="M233" s="73">
        <f t="shared" si="236"/>
        <v>8.5714285714285632E-2</v>
      </c>
      <c r="N233" s="73">
        <f t="shared" si="236"/>
        <v>0.2870813397129186</v>
      </c>
      <c r="O233" s="73">
        <f t="shared" ref="O233:Y233" si="237">O231/J231-1</f>
        <v>0.30890052356020936</v>
      </c>
      <c r="P233" s="73">
        <f t="shared" si="237"/>
        <v>0.25641025641025639</v>
      </c>
      <c r="Q233" s="24">
        <f t="shared" si="237"/>
        <v>0.23341232227488162</v>
      </c>
      <c r="R233" s="73">
        <f t="shared" si="237"/>
        <v>0.49122807017543857</v>
      </c>
      <c r="S233" s="73">
        <f t="shared" si="237"/>
        <v>0.15241635687732336</v>
      </c>
      <c r="T233" s="73">
        <f t="shared" si="237"/>
        <v>-2.8000000000000025E-2</v>
      </c>
      <c r="U233" s="73">
        <f t="shared" si="237"/>
        <v>-4.4217687074829981E-2</v>
      </c>
      <c r="V233" s="24">
        <f t="shared" si="237"/>
        <v>0.12776176753121993</v>
      </c>
      <c r="W233" s="73">
        <f t="shared" si="237"/>
        <v>-0.22941176470588232</v>
      </c>
      <c r="X233" s="73">
        <f t="shared" si="237"/>
        <v>-0.2290322580645161</v>
      </c>
      <c r="Y233" s="73">
        <f t="shared" si="237"/>
        <v>-2.0576131687242816E-2</v>
      </c>
      <c r="Z233" s="73">
        <f t="shared" ref="Z233:AI233" si="238">Z231/U231-1</f>
        <v>-0.26690391459074736</v>
      </c>
      <c r="AA233" s="24">
        <f t="shared" si="238"/>
        <v>-0.19505962521294717</v>
      </c>
      <c r="AB233" s="73">
        <f t="shared" si="238"/>
        <v>-0.37404580152671751</v>
      </c>
      <c r="AC233" s="73">
        <f t="shared" si="238"/>
        <v>-0.17573221757322177</v>
      </c>
      <c r="AD233" s="73">
        <f t="shared" si="238"/>
        <v>-0.19747899159663862</v>
      </c>
      <c r="AE233" s="73">
        <f t="shared" si="238"/>
        <v>9.2233009708737823E-2</v>
      </c>
      <c r="AF233" s="24">
        <f t="shared" si="238"/>
        <v>-0.17777777777777781</v>
      </c>
      <c r="AG233" s="73">
        <f t="shared" si="238"/>
        <v>0.31097560975609762</v>
      </c>
      <c r="AH233" s="73">
        <f t="shared" si="238"/>
        <v>9.137055837563457E-2</v>
      </c>
      <c r="AI233" s="73">
        <f t="shared" si="238"/>
        <v>3.6649214659685958E-2</v>
      </c>
      <c r="AJ233" s="73">
        <f t="shared" ref="AJ233:AS233" si="239">AJ231/AE231-1</f>
        <v>-7.999999999999996E-2</v>
      </c>
      <c r="AK233" s="24">
        <v>7.4646074646074645E-2</v>
      </c>
      <c r="AL233" s="73">
        <v>6.0465116279069697E-2</v>
      </c>
      <c r="AM233" s="73">
        <v>-5.5813953488372148E-2</v>
      </c>
      <c r="AN233" s="73">
        <v>5.0505050505050608E-2</v>
      </c>
      <c r="AO233" s="73">
        <v>-4.3478260869565188E-2</v>
      </c>
      <c r="AP233" s="24">
        <v>2.3952095808383866E-3</v>
      </c>
      <c r="AQ233" s="73">
        <v>-2.6315789473684181E-2</v>
      </c>
      <c r="AR233" s="73">
        <v>0</v>
      </c>
      <c r="AS233" s="73">
        <v>-1.9230769230769273E-2</v>
      </c>
      <c r="AT233" s="73"/>
      <c r="AU233" s="24"/>
      <c r="AV233" s="73">
        <v>0</v>
      </c>
      <c r="AW233" s="73">
        <v>9.3596059113300489E-2</v>
      </c>
      <c r="AX233" s="73">
        <v>8.8235294117646967E-2</v>
      </c>
      <c r="AY233" s="73"/>
      <c r="AZ233" s="24"/>
      <c r="BA233" s="73">
        <v>0</v>
      </c>
    </row>
    <row r="234" spans="1:53">
      <c r="A234" s="69" t="s">
        <v>51</v>
      </c>
      <c r="B234" s="65">
        <f>93+412</f>
        <v>505</v>
      </c>
      <c r="C234" s="70">
        <v>158</v>
      </c>
      <c r="D234" s="70">
        <v>132</v>
      </c>
      <c r="E234" s="70">
        <v>156</v>
      </c>
      <c r="F234" s="70">
        <f>G234-E234-D234-C234</f>
        <v>170</v>
      </c>
      <c r="G234" s="65">
        <f>98+518</f>
        <v>616</v>
      </c>
      <c r="H234" s="70">
        <f>216+22</f>
        <v>238</v>
      </c>
      <c r="I234" s="70">
        <f>152+39</f>
        <v>191</v>
      </c>
      <c r="J234" s="70">
        <v>204</v>
      </c>
      <c r="K234" s="70">
        <f>L234-J234-I234-H234</f>
        <v>220</v>
      </c>
      <c r="L234" s="65">
        <f>133+720</f>
        <v>853</v>
      </c>
      <c r="M234" s="70">
        <f>33+205</f>
        <v>238</v>
      </c>
      <c r="N234" s="70">
        <f>215+32</f>
        <v>247</v>
      </c>
      <c r="O234" s="70">
        <f>40+205</f>
        <v>245</v>
      </c>
      <c r="P234" s="70">
        <f>Q234-O234-N234-M234</f>
        <v>302</v>
      </c>
      <c r="Q234" s="65">
        <f>156+876</f>
        <v>1032</v>
      </c>
      <c r="R234" s="70">
        <f>289+30</f>
        <v>319</v>
      </c>
      <c r="S234" s="70">
        <v>319</v>
      </c>
      <c r="T234" s="70">
        <f>41+227</f>
        <v>268</v>
      </c>
      <c r="U234" s="70">
        <f>V234-T234-S234-R234</f>
        <v>259</v>
      </c>
      <c r="V234" s="65">
        <f>167+998</f>
        <v>1165</v>
      </c>
      <c r="W234" s="70">
        <f>36+233</f>
        <v>269</v>
      </c>
      <c r="X234" s="70">
        <f>34+204</f>
        <v>238</v>
      </c>
      <c r="Y234" s="70">
        <f>33+216</f>
        <v>249</v>
      </c>
      <c r="Z234" s="70">
        <f>AA234-Y234-X234-W234</f>
        <v>202</v>
      </c>
      <c r="AA234" s="65">
        <f>136+822</f>
        <v>958</v>
      </c>
      <c r="AB234" s="70">
        <f>21+162</f>
        <v>183</v>
      </c>
      <c r="AC234" s="70">
        <f>20+166</f>
        <v>186</v>
      </c>
      <c r="AD234" s="70">
        <f>22+176</f>
        <v>198</v>
      </c>
      <c r="AE234" s="70">
        <f>AF234-AD234-AC234-AB234</f>
        <v>222</v>
      </c>
      <c r="AF234" s="65">
        <f>86+703</f>
        <v>789</v>
      </c>
      <c r="AG234" s="70">
        <v>210</v>
      </c>
      <c r="AH234" s="70">
        <f>20+187</f>
        <v>207</v>
      </c>
      <c r="AI234" s="70">
        <f>190+20</f>
        <v>210</v>
      </c>
      <c r="AJ234" s="70">
        <f>AK234-AI234-AH234-AG234</f>
        <v>195</v>
      </c>
      <c r="AK234" s="65">
        <v>822</v>
      </c>
      <c r="AL234" s="70">
        <v>231</v>
      </c>
      <c r="AM234" s="70">
        <v>191</v>
      </c>
      <c r="AN234" s="70">
        <v>230</v>
      </c>
      <c r="AO234" s="70">
        <v>197</v>
      </c>
      <c r="AP234" s="65">
        <v>849</v>
      </c>
      <c r="AQ234" s="70">
        <v>195</v>
      </c>
      <c r="AR234" s="70">
        <v>227</v>
      </c>
      <c r="AS234" s="70">
        <v>207</v>
      </c>
      <c r="AT234" s="70">
        <v>205</v>
      </c>
      <c r="AU234" s="65">
        <v>834</v>
      </c>
      <c r="AV234" s="70">
        <v>210</v>
      </c>
      <c r="AW234" s="70">
        <v>219</v>
      </c>
      <c r="AX234" s="70">
        <v>170</v>
      </c>
      <c r="AY234" s="70">
        <v>226</v>
      </c>
      <c r="AZ234" s="65">
        <v>825</v>
      </c>
      <c r="BA234" s="70">
        <v>205</v>
      </c>
    </row>
    <row r="235" spans="1:53">
      <c r="A235" s="71" t="s">
        <v>7</v>
      </c>
      <c r="B235" s="24"/>
      <c r="C235" s="72"/>
      <c r="D235" s="72">
        <f>D234/C234-1</f>
        <v>-0.16455696202531644</v>
      </c>
      <c r="E235" s="72">
        <f>E234/D234-1</f>
        <v>0.18181818181818188</v>
      </c>
      <c r="F235" s="72">
        <f>F234/E234-1</f>
        <v>8.9743589743589647E-2</v>
      </c>
      <c r="G235" s="24"/>
      <c r="H235" s="72">
        <f>H234/F234-1</f>
        <v>0.39999999999999991</v>
      </c>
      <c r="I235" s="72">
        <f>I234/H234-1</f>
        <v>-0.19747899159663862</v>
      </c>
      <c r="J235" s="72">
        <f>J234/I234-1</f>
        <v>6.8062827225130906E-2</v>
      </c>
      <c r="K235" s="72">
        <f>K234/J234-1</f>
        <v>7.8431372549019551E-2</v>
      </c>
      <c r="L235" s="24"/>
      <c r="M235" s="72">
        <f>M234/K234-1</f>
        <v>8.181818181818179E-2</v>
      </c>
      <c r="N235" s="72">
        <f>N234/M234-1</f>
        <v>3.7815126050420256E-2</v>
      </c>
      <c r="O235" s="72">
        <f>O234/N234-1</f>
        <v>-8.0971659919027994E-3</v>
      </c>
      <c r="P235" s="72">
        <f>P234/O234-1</f>
        <v>0.2326530612244897</v>
      </c>
      <c r="Q235" s="24"/>
      <c r="R235" s="72">
        <f>R234/P234-1</f>
        <v>5.6291390728476776E-2</v>
      </c>
      <c r="S235" s="72">
        <f>S234/R234-1</f>
        <v>0</v>
      </c>
      <c r="T235" s="72">
        <f>T234/S234-1</f>
        <v>-0.15987460815047017</v>
      </c>
      <c r="U235" s="72">
        <f>U234/T234-1</f>
        <v>-3.3582089552238847E-2</v>
      </c>
      <c r="V235" s="24"/>
      <c r="W235" s="72">
        <f>W234/U234-1</f>
        <v>3.8610038610038533E-2</v>
      </c>
      <c r="X235" s="72">
        <f>X234/W234-1</f>
        <v>-0.11524163568773238</v>
      </c>
      <c r="Y235" s="72">
        <f>Y234/X234-1</f>
        <v>4.6218487394958041E-2</v>
      </c>
      <c r="Z235" s="72">
        <f>Z234/Y234-1</f>
        <v>-0.1887550200803213</v>
      </c>
      <c r="AA235" s="24"/>
      <c r="AB235" s="72">
        <f>AB234/Z234-1</f>
        <v>-9.4059405940594032E-2</v>
      </c>
      <c r="AC235" s="72">
        <f>AC234/AB234-1</f>
        <v>1.6393442622950838E-2</v>
      </c>
      <c r="AD235" s="72">
        <f>AD234/AC234-1</f>
        <v>6.4516129032258007E-2</v>
      </c>
      <c r="AE235" s="72">
        <f>AE234/AD234-1</f>
        <v>0.1212121212121211</v>
      </c>
      <c r="AF235" s="24"/>
      <c r="AG235" s="72">
        <f>AG234/AE234-1</f>
        <v>-5.4054054054054057E-2</v>
      </c>
      <c r="AH235" s="72">
        <f>AH234/AG234-1</f>
        <v>-1.4285714285714235E-2</v>
      </c>
      <c r="AI235" s="72">
        <f>AI234/AH234-1</f>
        <v>1.449275362318847E-2</v>
      </c>
      <c r="AJ235" s="72">
        <f>AJ234/AI234-1</f>
        <v>-7.1428571428571397E-2</v>
      </c>
      <c r="AK235" s="24"/>
      <c r="AL235" s="72">
        <v>0.18461538461538463</v>
      </c>
      <c r="AM235" s="72">
        <v>-0.17316017316017318</v>
      </c>
      <c r="AN235" s="72">
        <v>0.20418848167539272</v>
      </c>
      <c r="AO235" s="72">
        <v>-0.14347826086956517</v>
      </c>
      <c r="AP235" s="24"/>
      <c r="AQ235" s="72">
        <v>-1.0152284263959421E-2</v>
      </c>
      <c r="AR235" s="72">
        <v>0.16410256410256419</v>
      </c>
      <c r="AS235" s="72">
        <v>-8.8105726872246715E-2</v>
      </c>
      <c r="AT235" s="72">
        <v>-9.6618357487923134E-3</v>
      </c>
      <c r="AU235" s="24"/>
      <c r="AV235" s="72">
        <v>2.4390243902439046E-2</v>
      </c>
      <c r="AW235" s="72">
        <v>4.2857142857142927E-2</v>
      </c>
      <c r="AX235" s="72">
        <v>-0.22374429223744297</v>
      </c>
      <c r="AY235" s="72">
        <v>0.32941176470588229</v>
      </c>
      <c r="AZ235" s="24"/>
      <c r="BA235" s="72">
        <v>-9.2920353982300918E-2</v>
      </c>
    </row>
    <row r="236" spans="1:53" ht="10.15" customHeight="1">
      <c r="A236" s="71" t="s">
        <v>8</v>
      </c>
      <c r="B236" s="24"/>
      <c r="C236" s="73"/>
      <c r="D236" s="73"/>
      <c r="E236" s="73"/>
      <c r="F236" s="73"/>
      <c r="G236" s="24">
        <f t="shared" ref="G236:N236" si="240">G234/B234-1</f>
        <v>0.21980198019801978</v>
      </c>
      <c r="H236" s="73">
        <f t="shared" si="240"/>
        <v>0.50632911392405067</v>
      </c>
      <c r="I236" s="73">
        <f t="shared" si="240"/>
        <v>0.44696969696969702</v>
      </c>
      <c r="J236" s="73">
        <f t="shared" si="240"/>
        <v>0.30769230769230771</v>
      </c>
      <c r="K236" s="73">
        <f t="shared" si="240"/>
        <v>0.29411764705882359</v>
      </c>
      <c r="L236" s="24">
        <f t="shared" si="240"/>
        <v>0.38474025974025983</v>
      </c>
      <c r="M236" s="73">
        <f t="shared" si="240"/>
        <v>0</v>
      </c>
      <c r="N236" s="73">
        <f t="shared" si="240"/>
        <v>0.293193717277487</v>
      </c>
      <c r="O236" s="73">
        <f t="shared" ref="O236:Y236" si="241">O234/J234-1</f>
        <v>0.2009803921568627</v>
      </c>
      <c r="P236" s="73">
        <f t="shared" si="241"/>
        <v>0.3727272727272728</v>
      </c>
      <c r="Q236" s="24">
        <f t="shared" si="241"/>
        <v>0.20984759671746778</v>
      </c>
      <c r="R236" s="73">
        <f t="shared" si="241"/>
        <v>0.34033613445378141</v>
      </c>
      <c r="S236" s="73">
        <f t="shared" si="241"/>
        <v>0.29149797570850211</v>
      </c>
      <c r="T236" s="73">
        <f t="shared" si="241"/>
        <v>9.3877551020408179E-2</v>
      </c>
      <c r="U236" s="73">
        <f t="shared" si="241"/>
        <v>-0.14238410596026485</v>
      </c>
      <c r="V236" s="24">
        <f t="shared" si="241"/>
        <v>0.12887596899224807</v>
      </c>
      <c r="W236" s="73">
        <f t="shared" si="241"/>
        <v>-0.15673981191222575</v>
      </c>
      <c r="X236" s="73">
        <f t="shared" si="241"/>
        <v>-0.25391849529780564</v>
      </c>
      <c r="Y236" s="73">
        <f t="shared" si="241"/>
        <v>-7.089552238805974E-2</v>
      </c>
      <c r="Z236" s="73">
        <f t="shared" ref="Z236:AI236" si="242">Z234/U234-1</f>
        <v>-0.22007722007722008</v>
      </c>
      <c r="AA236" s="24">
        <f t="shared" si="242"/>
        <v>-0.17768240343347641</v>
      </c>
      <c r="AB236" s="73">
        <f t="shared" si="242"/>
        <v>-0.3197026022304833</v>
      </c>
      <c r="AC236" s="73">
        <f t="shared" si="242"/>
        <v>-0.21848739495798319</v>
      </c>
      <c r="AD236" s="73">
        <f t="shared" si="242"/>
        <v>-0.20481927710843373</v>
      </c>
      <c r="AE236" s="73">
        <f t="shared" si="242"/>
        <v>9.9009900990099098E-2</v>
      </c>
      <c r="AF236" s="24">
        <f t="shared" si="242"/>
        <v>-0.17640918580375786</v>
      </c>
      <c r="AG236" s="73">
        <f t="shared" si="242"/>
        <v>0.14754098360655732</v>
      </c>
      <c r="AH236" s="73">
        <f t="shared" si="242"/>
        <v>0.11290322580645151</v>
      </c>
      <c r="AI236" s="73">
        <f t="shared" si="242"/>
        <v>6.0606060606060552E-2</v>
      </c>
      <c r="AJ236" s="73">
        <f t="shared" ref="AJ236:AS236" si="243">AJ234/AE234-1</f>
        <v>-0.1216216216216216</v>
      </c>
      <c r="AK236" s="24">
        <v>4.1825095057034245E-2</v>
      </c>
      <c r="AL236" s="73">
        <v>0.10000000000000009</v>
      </c>
      <c r="AM236" s="73">
        <v>-7.7294685990338174E-2</v>
      </c>
      <c r="AN236" s="73">
        <v>9.5238095238095344E-2</v>
      </c>
      <c r="AO236" s="73">
        <v>1.025641025641022E-2</v>
      </c>
      <c r="AP236" s="24">
        <v>3.2846715328467058E-2</v>
      </c>
      <c r="AQ236" s="73">
        <v>-0.1558441558441559</v>
      </c>
      <c r="AR236" s="73">
        <v>0.18848167539267013</v>
      </c>
      <c r="AS236" s="73">
        <v>-9.9999999999999978E-2</v>
      </c>
      <c r="AT236" s="73">
        <v>4.0609137055837463E-2</v>
      </c>
      <c r="AU236" s="24">
        <v>-1.7667844522968212E-2</v>
      </c>
      <c r="AV236" s="73">
        <v>7.6923076923076872E-2</v>
      </c>
      <c r="AW236" s="73">
        <v>-3.524229074889873E-2</v>
      </c>
      <c r="AX236" s="73">
        <v>-0.17874396135265702</v>
      </c>
      <c r="AY236" s="73">
        <v>0.10243902439024399</v>
      </c>
      <c r="AZ236" s="24">
        <v>-1.0791366906474864E-2</v>
      </c>
      <c r="BA236" s="73">
        <v>-2.3809523809523836E-2</v>
      </c>
    </row>
    <row r="237" spans="1:53" ht="10.5" customHeight="1">
      <c r="A237" s="69" t="s">
        <v>218</v>
      </c>
      <c r="B237" s="65">
        <f>B234-169</f>
        <v>336</v>
      </c>
      <c r="C237" s="70">
        <v>98</v>
      </c>
      <c r="D237" s="70">
        <v>107</v>
      </c>
      <c r="E237" s="70">
        <f>E234-12</f>
        <v>144</v>
      </c>
      <c r="F237" s="70">
        <f>G237-E237-D237-C237</f>
        <v>123</v>
      </c>
      <c r="G237" s="65">
        <f>G234-144</f>
        <v>472</v>
      </c>
      <c r="H237" s="70">
        <f>H234-49</f>
        <v>189</v>
      </c>
      <c r="I237" s="70">
        <f>I234-9</f>
        <v>182</v>
      </c>
      <c r="J237" s="70">
        <f>J234-19</f>
        <v>185</v>
      </c>
      <c r="K237" s="70">
        <f>L237-J237-I237-H237</f>
        <v>211</v>
      </c>
      <c r="L237" s="65">
        <f>L234-86</f>
        <v>767</v>
      </c>
      <c r="M237" s="70">
        <f>M234-15</f>
        <v>223</v>
      </c>
      <c r="N237" s="70">
        <f>N234-26</f>
        <v>221</v>
      </c>
      <c r="O237" s="70">
        <f>O234-48</f>
        <v>197</v>
      </c>
      <c r="P237" s="70">
        <f>Q237-O237-N237-M237</f>
        <v>259</v>
      </c>
      <c r="Q237" s="65">
        <f>Q234-132</f>
        <v>900</v>
      </c>
      <c r="R237" s="70">
        <f>R234-72</f>
        <v>247</v>
      </c>
      <c r="S237" s="70">
        <f>S234-48</f>
        <v>271</v>
      </c>
      <c r="T237" s="70">
        <f>T234-68</f>
        <v>200</v>
      </c>
      <c r="U237" s="70">
        <f>V237-T237-S237-R237</f>
        <v>219</v>
      </c>
      <c r="V237" s="65">
        <f>V234-228</f>
        <v>937</v>
      </c>
      <c r="W237" s="70">
        <f>W234-46</f>
        <v>223</v>
      </c>
      <c r="X237" s="70">
        <f>X234-22</f>
        <v>216</v>
      </c>
      <c r="Y237" s="70">
        <f>Y234-96</f>
        <v>153</v>
      </c>
      <c r="Z237" s="70">
        <f>AA237-Y237-X237-W237</f>
        <v>66</v>
      </c>
      <c r="AA237" s="65">
        <f>AA234-300</f>
        <v>658</v>
      </c>
      <c r="AB237" s="70">
        <f>AB234-42</f>
        <v>141</v>
      </c>
      <c r="AC237" s="70">
        <f>AC234-124</f>
        <v>62</v>
      </c>
      <c r="AD237" s="70">
        <f>AD234-48</f>
        <v>150</v>
      </c>
      <c r="AE237" s="70">
        <f>AF237-AD237-AC237-AB237</f>
        <v>132</v>
      </c>
      <c r="AF237" s="65">
        <f>AF234-304</f>
        <v>485</v>
      </c>
      <c r="AG237" s="70">
        <f>AG234-28</f>
        <v>182</v>
      </c>
      <c r="AH237" s="70">
        <f>AH234-42</f>
        <v>165</v>
      </c>
      <c r="AI237" s="70">
        <f>AI234-69</f>
        <v>141</v>
      </c>
      <c r="AJ237" s="70">
        <f>AK237-AI237-AH237-AG237</f>
        <v>113</v>
      </c>
      <c r="AK237" s="65">
        <v>601</v>
      </c>
      <c r="AL237" s="70">
        <v>219</v>
      </c>
      <c r="AM237" s="70">
        <v>111</v>
      </c>
      <c r="AN237" s="70">
        <v>209</v>
      </c>
      <c r="AO237" s="70">
        <v>164</v>
      </c>
      <c r="AP237" s="65">
        <v>703</v>
      </c>
      <c r="AQ237" s="70">
        <v>154</v>
      </c>
      <c r="AR237" s="70">
        <v>173</v>
      </c>
      <c r="AS237" s="70">
        <v>185</v>
      </c>
      <c r="AT237" s="70">
        <v>190</v>
      </c>
      <c r="AU237" s="65">
        <v>702</v>
      </c>
      <c r="AV237" s="70">
        <v>200</v>
      </c>
      <c r="AW237" s="70">
        <v>203</v>
      </c>
      <c r="AX237" s="70">
        <v>124</v>
      </c>
      <c r="AY237" s="70">
        <v>204</v>
      </c>
      <c r="AZ237" s="65">
        <v>731</v>
      </c>
      <c r="BA237" s="70">
        <v>198</v>
      </c>
    </row>
    <row r="238" spans="1:53">
      <c r="A238" s="71" t="s">
        <v>7</v>
      </c>
      <c r="B238" s="24"/>
      <c r="C238" s="72"/>
      <c r="D238" s="72">
        <f>D237/C237-1</f>
        <v>9.1836734693877542E-2</v>
      </c>
      <c r="E238" s="72">
        <f>E237/D237-1</f>
        <v>0.34579439252336441</v>
      </c>
      <c r="F238" s="72">
        <f>F237/E237-1</f>
        <v>-0.14583333333333337</v>
      </c>
      <c r="G238" s="24"/>
      <c r="H238" s="72">
        <f>H237/F237-1</f>
        <v>0.53658536585365857</v>
      </c>
      <c r="I238" s="72">
        <f>I237/H237-1</f>
        <v>-3.703703703703709E-2</v>
      </c>
      <c r="J238" s="72">
        <f>J237/I237-1</f>
        <v>1.6483516483516425E-2</v>
      </c>
      <c r="K238" s="72">
        <f>K237/J237-1</f>
        <v>0.14054054054054044</v>
      </c>
      <c r="L238" s="24"/>
      <c r="M238" s="72">
        <f>M237/K237-1</f>
        <v>5.6872037914691864E-2</v>
      </c>
      <c r="N238" s="72">
        <f>N237/M237-1</f>
        <v>-8.9686098654708779E-3</v>
      </c>
      <c r="O238" s="72">
        <f>O237/N237-1</f>
        <v>-0.10859728506787325</v>
      </c>
      <c r="P238" s="72">
        <f>P237/O237-1</f>
        <v>0.31472081218274117</v>
      </c>
      <c r="Q238" s="24"/>
      <c r="R238" s="72">
        <f>R237/P237-1</f>
        <v>-4.633204633204635E-2</v>
      </c>
      <c r="S238" s="72">
        <f>S237/R237-1</f>
        <v>9.7165991902834037E-2</v>
      </c>
      <c r="T238" s="72">
        <f>T237/S237-1</f>
        <v>-0.26199261992619927</v>
      </c>
      <c r="U238" s="72">
        <f>U237/T237-1</f>
        <v>9.4999999999999973E-2</v>
      </c>
      <c r="V238" s="24"/>
      <c r="W238" s="72">
        <f>W237/U237-1</f>
        <v>1.8264840182648401E-2</v>
      </c>
      <c r="X238" s="72">
        <f>X237/W237-1</f>
        <v>-3.1390134529147962E-2</v>
      </c>
      <c r="Y238" s="72">
        <f>Y237/X237-1</f>
        <v>-0.29166666666666663</v>
      </c>
      <c r="Z238" s="72">
        <f>Z237/Y237-1</f>
        <v>-0.56862745098039214</v>
      </c>
      <c r="AA238" s="24"/>
      <c r="AB238" s="72">
        <f>AB237/Z237-1</f>
        <v>1.1363636363636362</v>
      </c>
      <c r="AC238" s="72">
        <f>AC237/AB237-1</f>
        <v>-0.56028368794326244</v>
      </c>
      <c r="AD238" s="72">
        <f>AD237/AC237-1</f>
        <v>1.4193548387096775</v>
      </c>
      <c r="AE238" s="72">
        <f>AE237/AD237-1</f>
        <v>-0.12</v>
      </c>
      <c r="AF238" s="24"/>
      <c r="AG238" s="72">
        <f>AG237/AE237-1</f>
        <v>0.3787878787878789</v>
      </c>
      <c r="AH238" s="72">
        <f>AH237/AG237-1</f>
        <v>-9.3406593406593408E-2</v>
      </c>
      <c r="AI238" s="72">
        <f>AI237/AH237-1</f>
        <v>-0.1454545454545455</v>
      </c>
      <c r="AJ238" s="72">
        <f>AJ237/AI237-1</f>
        <v>-0.1985815602836879</v>
      </c>
      <c r="AK238" s="24"/>
      <c r="AL238" s="72">
        <v>0.93805309734513265</v>
      </c>
      <c r="AM238" s="72">
        <v>-0.49315068493150682</v>
      </c>
      <c r="AN238" s="72">
        <v>0.88288288288288297</v>
      </c>
      <c r="AO238" s="72">
        <v>-0.21531100478468901</v>
      </c>
      <c r="AP238" s="24"/>
      <c r="AQ238" s="72">
        <v>-6.0975609756097615E-2</v>
      </c>
      <c r="AR238" s="72">
        <v>0.12337662337662336</v>
      </c>
      <c r="AS238" s="72">
        <v>6.9364161849710948E-2</v>
      </c>
      <c r="AT238" s="72">
        <v>2.7027027027026973E-2</v>
      </c>
      <c r="AU238" s="24"/>
      <c r="AV238" s="72">
        <v>5.2631578947368363E-2</v>
      </c>
      <c r="AW238" s="72">
        <v>1.4999999999999902E-2</v>
      </c>
      <c r="AX238" s="72">
        <v>-0.38916256157635465</v>
      </c>
      <c r="AY238" s="72">
        <v>0.64516129032258074</v>
      </c>
      <c r="AZ238" s="24"/>
      <c r="BA238" s="72">
        <v>-2.9411764705882359E-2</v>
      </c>
    </row>
    <row r="239" spans="1:53" ht="11.1" customHeight="1">
      <c r="A239" s="71" t="s">
        <v>8</v>
      </c>
      <c r="B239" s="24"/>
      <c r="C239" s="73"/>
      <c r="D239" s="73"/>
      <c r="E239" s="73"/>
      <c r="F239" s="73"/>
      <c r="G239" s="24">
        <f t="shared" ref="G239:N239" si="244">G237/B237-1</f>
        <v>0.40476190476190466</v>
      </c>
      <c r="H239" s="73">
        <f t="shared" si="244"/>
        <v>0.9285714285714286</v>
      </c>
      <c r="I239" s="73">
        <f t="shared" si="244"/>
        <v>0.7009345794392523</v>
      </c>
      <c r="J239" s="73">
        <f t="shared" si="244"/>
        <v>0.28472222222222232</v>
      </c>
      <c r="K239" s="73">
        <f t="shared" si="244"/>
        <v>0.71544715447154461</v>
      </c>
      <c r="L239" s="24">
        <f t="shared" si="244"/>
        <v>0.625</v>
      </c>
      <c r="M239" s="73">
        <f t="shared" si="244"/>
        <v>0.17989417989418</v>
      </c>
      <c r="N239" s="73">
        <f t="shared" si="244"/>
        <v>0.21428571428571419</v>
      </c>
      <c r="O239" s="73">
        <f t="shared" ref="O239:Y239" si="245">O237/J237-1</f>
        <v>6.4864864864864868E-2</v>
      </c>
      <c r="P239" s="73">
        <f t="shared" si="245"/>
        <v>0.22748815165876768</v>
      </c>
      <c r="Q239" s="24">
        <f t="shared" si="245"/>
        <v>0.17340286831812257</v>
      </c>
      <c r="R239" s="73">
        <f t="shared" si="245"/>
        <v>0.10762331838565031</v>
      </c>
      <c r="S239" s="73">
        <f t="shared" si="245"/>
        <v>0.2262443438914028</v>
      </c>
      <c r="T239" s="73">
        <f t="shared" si="245"/>
        <v>1.5228426395939021E-2</v>
      </c>
      <c r="U239" s="73">
        <f t="shared" si="245"/>
        <v>-0.15444015444015446</v>
      </c>
      <c r="V239" s="24">
        <f t="shared" si="245"/>
        <v>4.1111111111111098E-2</v>
      </c>
      <c r="W239" s="73">
        <f t="shared" si="245"/>
        <v>-9.7165991902834037E-2</v>
      </c>
      <c r="X239" s="73">
        <f t="shared" si="245"/>
        <v>-0.20295202952029523</v>
      </c>
      <c r="Y239" s="73">
        <f t="shared" si="245"/>
        <v>-0.23499999999999999</v>
      </c>
      <c r="Z239" s="73">
        <f t="shared" ref="Z239:AI239" si="246">Z237/U237-1</f>
        <v>-0.69863013698630139</v>
      </c>
      <c r="AA239" s="24">
        <f t="shared" si="246"/>
        <v>-0.29775880469583782</v>
      </c>
      <c r="AB239" s="73">
        <f t="shared" si="246"/>
        <v>-0.36771300448430488</v>
      </c>
      <c r="AC239" s="73">
        <f t="shared" si="246"/>
        <v>-0.71296296296296302</v>
      </c>
      <c r="AD239" s="73">
        <f t="shared" si="246"/>
        <v>-1.9607843137254943E-2</v>
      </c>
      <c r="AE239" s="73">
        <f t="shared" si="246"/>
        <v>1</v>
      </c>
      <c r="AF239" s="24">
        <f t="shared" si="246"/>
        <v>-0.26291793313069911</v>
      </c>
      <c r="AG239" s="73">
        <f t="shared" si="246"/>
        <v>0.29078014184397172</v>
      </c>
      <c r="AH239" s="73">
        <f t="shared" si="246"/>
        <v>1.661290322580645</v>
      </c>
      <c r="AI239" s="73">
        <f t="shared" si="246"/>
        <v>-6.0000000000000053E-2</v>
      </c>
      <c r="AJ239" s="73">
        <f t="shared" ref="AJ239:AS239" si="247">AJ237/AE237-1</f>
        <v>-0.14393939393939392</v>
      </c>
      <c r="AK239" s="24">
        <v>0.2391752577319588</v>
      </c>
      <c r="AL239" s="73">
        <v>0.20329670329670324</v>
      </c>
      <c r="AM239" s="73">
        <v>-0.32727272727272727</v>
      </c>
      <c r="AN239" s="73">
        <v>0.48226950354609932</v>
      </c>
      <c r="AO239" s="73">
        <v>0.45132743362831862</v>
      </c>
      <c r="AP239" s="24">
        <v>0.16971713810316147</v>
      </c>
      <c r="AQ239" s="73">
        <v>-0.29680365296803657</v>
      </c>
      <c r="AR239" s="73">
        <v>0.55855855855855863</v>
      </c>
      <c r="AS239" s="73">
        <v>-0.11483253588516751</v>
      </c>
      <c r="AT239" s="73">
        <v>0.15853658536585358</v>
      </c>
      <c r="AU239" s="24">
        <v>-1.4224751066855834E-3</v>
      </c>
      <c r="AV239" s="73">
        <v>0.29870129870129869</v>
      </c>
      <c r="AW239" s="73">
        <v>0.17341040462427748</v>
      </c>
      <c r="AX239" s="73">
        <v>-0.32972972972972969</v>
      </c>
      <c r="AY239" s="73">
        <v>7.3684210526315796E-2</v>
      </c>
      <c r="AZ239" s="24">
        <v>4.1310541310541238E-2</v>
      </c>
      <c r="BA239" s="73">
        <v>-1.0000000000000009E-2</v>
      </c>
    </row>
    <row r="240" spans="1:53" ht="11.1" customHeight="1">
      <c r="A240" s="69" t="s">
        <v>274</v>
      </c>
      <c r="B240" s="24"/>
      <c r="C240" s="73"/>
      <c r="D240" s="73"/>
      <c r="E240" s="73"/>
      <c r="F240" s="73"/>
      <c r="G240" s="24"/>
      <c r="H240" s="73"/>
      <c r="I240" s="73"/>
      <c r="J240" s="73"/>
      <c r="K240" s="73"/>
      <c r="L240" s="24"/>
      <c r="M240" s="73"/>
      <c r="N240" s="73"/>
      <c r="O240" s="73"/>
      <c r="P240" s="73"/>
      <c r="Q240" s="24"/>
      <c r="R240" s="73"/>
      <c r="S240" s="73"/>
      <c r="T240" s="73"/>
      <c r="U240" s="73"/>
      <c r="V240" s="24"/>
      <c r="W240" s="73"/>
      <c r="X240" s="73"/>
      <c r="Y240" s="73"/>
      <c r="Z240" s="73"/>
      <c r="AA240" s="24"/>
      <c r="AB240" s="73"/>
      <c r="AC240" s="73"/>
      <c r="AD240" s="73"/>
      <c r="AE240" s="73"/>
      <c r="AF240" s="24"/>
      <c r="AG240" s="73"/>
      <c r="AH240" s="73"/>
      <c r="AI240" s="73"/>
      <c r="AJ240" s="73"/>
      <c r="AK240" s="24"/>
      <c r="AL240" s="73"/>
      <c r="AM240" s="73"/>
      <c r="AN240" s="73"/>
      <c r="AO240" s="73"/>
      <c r="AP240" s="24"/>
      <c r="AQ240" s="73"/>
      <c r="AR240" s="73"/>
      <c r="AS240" s="73"/>
      <c r="AT240" s="73"/>
      <c r="AU240" s="24"/>
      <c r="AV240" s="73"/>
      <c r="AW240" s="73"/>
      <c r="AX240" s="73"/>
      <c r="AY240" s="73"/>
      <c r="AZ240" s="24"/>
      <c r="BA240" s="70">
        <v>33</v>
      </c>
    </row>
    <row r="241" spans="1:53" ht="2.25" customHeight="1">
      <c r="A241" s="71"/>
      <c r="B241" s="24"/>
      <c r="C241" s="73"/>
      <c r="D241" s="73"/>
      <c r="E241" s="73"/>
      <c r="F241" s="73"/>
      <c r="G241" s="24"/>
      <c r="H241" s="73"/>
      <c r="I241" s="73"/>
      <c r="J241" s="73"/>
      <c r="K241" s="73"/>
      <c r="L241" s="24"/>
      <c r="M241" s="73"/>
      <c r="N241" s="73"/>
      <c r="O241" s="73"/>
      <c r="P241" s="73"/>
      <c r="Q241" s="24"/>
      <c r="R241" s="73"/>
      <c r="S241" s="73"/>
      <c r="T241" s="73"/>
      <c r="U241" s="73"/>
      <c r="V241" s="24"/>
      <c r="W241" s="73"/>
      <c r="X241" s="73"/>
      <c r="Y241" s="73"/>
      <c r="Z241" s="73"/>
      <c r="AA241" s="24"/>
      <c r="AB241" s="73"/>
      <c r="AC241" s="73"/>
      <c r="AD241" s="73"/>
      <c r="AE241" s="73"/>
      <c r="AF241" s="24"/>
      <c r="AG241" s="73"/>
      <c r="AH241" s="73"/>
      <c r="AI241" s="73"/>
      <c r="AJ241" s="73"/>
      <c r="AK241" s="24"/>
      <c r="AL241" s="73"/>
      <c r="AM241" s="73"/>
      <c r="AN241" s="73"/>
      <c r="AO241" s="73"/>
      <c r="AP241" s="24"/>
      <c r="AQ241" s="73"/>
      <c r="AR241" s="73"/>
      <c r="AS241" s="73"/>
      <c r="AT241" s="73"/>
      <c r="AU241" s="24"/>
      <c r="AV241" s="73"/>
      <c r="AW241" s="73"/>
      <c r="AX241" s="73"/>
      <c r="AY241" s="73"/>
      <c r="AZ241" s="24"/>
      <c r="BA241" s="73"/>
    </row>
    <row r="242" spans="1:53" ht="11.65" customHeight="1">
      <c r="A242" s="69" t="s">
        <v>13</v>
      </c>
      <c r="B242" s="65">
        <f>B228-B237</f>
        <v>1043</v>
      </c>
      <c r="C242" s="80" t="s">
        <v>53</v>
      </c>
      <c r="D242" s="80" t="s">
        <v>53</v>
      </c>
      <c r="E242" s="80" t="s">
        <v>53</v>
      </c>
      <c r="F242" s="80" t="s">
        <v>53</v>
      </c>
      <c r="G242" s="65">
        <f>G228-G237</f>
        <v>1219</v>
      </c>
      <c r="H242" s="70">
        <f>H228-H237</f>
        <v>446</v>
      </c>
      <c r="I242" s="70">
        <f>I228-I237</f>
        <v>226</v>
      </c>
      <c r="J242" s="70">
        <f>J228-J237</f>
        <v>341</v>
      </c>
      <c r="K242" s="70">
        <f>L242-J242-I242-H242</f>
        <v>440</v>
      </c>
      <c r="L242" s="65">
        <f>L228-L237</f>
        <v>1453</v>
      </c>
      <c r="M242" s="70">
        <f>M228-M237</f>
        <v>170</v>
      </c>
      <c r="N242" s="70">
        <f>N228-N237</f>
        <v>302</v>
      </c>
      <c r="O242" s="70">
        <f>O228-O237</f>
        <v>487</v>
      </c>
      <c r="P242" s="70">
        <f>Q242-O242-N242-M242</f>
        <v>281</v>
      </c>
      <c r="Q242" s="65">
        <f>Q228-Q237</f>
        <v>1240</v>
      </c>
      <c r="R242" s="70">
        <f>R228-R237+115</f>
        <v>287</v>
      </c>
      <c r="S242" s="70">
        <f>S228-S237</f>
        <v>225</v>
      </c>
      <c r="T242" s="70">
        <f>T228-T237</f>
        <v>441</v>
      </c>
      <c r="U242" s="70">
        <f>V242-T242-S242-R242</f>
        <v>215.93499999999995</v>
      </c>
      <c r="V242" s="65">
        <f>V228-V237</f>
        <v>1168.9349999999999</v>
      </c>
      <c r="W242" s="70">
        <f>W228-W237</f>
        <v>428</v>
      </c>
      <c r="X242" s="70">
        <f>X228-X237</f>
        <v>160</v>
      </c>
      <c r="Y242" s="70">
        <f>Y228-Y237</f>
        <v>317</v>
      </c>
      <c r="Z242" s="70">
        <f>AA242-Y242-X242-W242</f>
        <v>446</v>
      </c>
      <c r="AA242" s="65">
        <f>AA228-AA237</f>
        <v>1351</v>
      </c>
      <c r="AB242" s="70">
        <f>AB228-AB237</f>
        <v>420</v>
      </c>
      <c r="AC242" s="70">
        <f>AC228-AC237</f>
        <v>494</v>
      </c>
      <c r="AD242" s="70">
        <f>AD228-AD237</f>
        <v>481</v>
      </c>
      <c r="AE242" s="70">
        <f>AF242-AD242-AC242-AB242</f>
        <v>394</v>
      </c>
      <c r="AF242" s="65">
        <f>AF228-AF237</f>
        <v>1789</v>
      </c>
      <c r="AG242" s="70">
        <f>AG228-AG237</f>
        <v>434</v>
      </c>
      <c r="AH242" s="70">
        <f>AH228-AH237</f>
        <v>380</v>
      </c>
      <c r="AI242" s="70">
        <f>AI228-AI237</f>
        <v>458</v>
      </c>
      <c r="AJ242" s="70">
        <f>AK242-AI242-AH242-AG242</f>
        <v>386</v>
      </c>
      <c r="AK242" s="65">
        <v>1658</v>
      </c>
      <c r="AL242" s="70">
        <v>329</v>
      </c>
      <c r="AM242" s="70">
        <v>345</v>
      </c>
      <c r="AN242" s="70">
        <v>477</v>
      </c>
      <c r="AO242" s="70">
        <v>504</v>
      </c>
      <c r="AP242" s="65">
        <v>1655</v>
      </c>
      <c r="AQ242" s="70">
        <v>385</v>
      </c>
      <c r="AR242" s="70">
        <v>344</v>
      </c>
      <c r="AS242" s="70">
        <v>341</v>
      </c>
      <c r="AT242" s="70">
        <v>292</v>
      </c>
      <c r="AU242" s="65">
        <v>1362</v>
      </c>
      <c r="AV242" s="70">
        <v>400</v>
      </c>
      <c r="AW242" s="70">
        <v>262</v>
      </c>
      <c r="AX242" s="70">
        <v>449</v>
      </c>
      <c r="AY242" s="70">
        <v>383</v>
      </c>
      <c r="AZ242" s="65">
        <v>1494</v>
      </c>
      <c r="BA242" s="70">
        <v>285</v>
      </c>
    </row>
    <row r="243" spans="1:53" ht="10.15" customHeight="1">
      <c r="A243" s="71" t="s">
        <v>7</v>
      </c>
      <c r="B243" s="24"/>
      <c r="C243" s="72"/>
      <c r="D243" s="72"/>
      <c r="E243" s="72"/>
      <c r="F243" s="72"/>
      <c r="G243" s="24"/>
      <c r="H243" s="72"/>
      <c r="I243" s="72">
        <f>I242/H242-1</f>
        <v>-0.49327354260089684</v>
      </c>
      <c r="J243" s="72">
        <f>J242/I242-1</f>
        <v>0.50884955752212391</v>
      </c>
      <c r="K243" s="72">
        <f>K242/J242-1</f>
        <v>0.29032258064516125</v>
      </c>
      <c r="L243" s="24"/>
      <c r="M243" s="72">
        <f>M242/K242-1</f>
        <v>-0.61363636363636365</v>
      </c>
      <c r="N243" s="72">
        <f>N242/M242-1</f>
        <v>0.77647058823529402</v>
      </c>
      <c r="O243" s="72">
        <f>O242/N242-1</f>
        <v>0.61258278145695355</v>
      </c>
      <c r="P243" s="72">
        <f>P242/O242-1</f>
        <v>-0.4229979466119097</v>
      </c>
      <c r="Q243" s="24"/>
      <c r="R243" s="72">
        <f>R242/P242-1</f>
        <v>2.1352313167259718E-2</v>
      </c>
      <c r="S243" s="72">
        <f>S242/R242-1</f>
        <v>-0.21602787456445993</v>
      </c>
      <c r="T243" s="72">
        <f>T242/S242-1</f>
        <v>0.96</v>
      </c>
      <c r="U243" s="72">
        <f>U242/T242-1</f>
        <v>-0.5103514739229027</v>
      </c>
      <c r="V243" s="24"/>
      <c r="W243" s="72">
        <f>W242/U242-1</f>
        <v>0.98207794012087013</v>
      </c>
      <c r="X243" s="72">
        <f>X242/W242-1</f>
        <v>-0.62616822429906538</v>
      </c>
      <c r="Y243" s="72">
        <f>Y242/X242-1</f>
        <v>0.98124999999999996</v>
      </c>
      <c r="Z243" s="72">
        <f>Z242/Y242-1</f>
        <v>0.40694006309148256</v>
      </c>
      <c r="AA243" s="24"/>
      <c r="AB243" s="72">
        <f>AB242/Z242-1</f>
        <v>-5.8295964125560484E-2</v>
      </c>
      <c r="AC243" s="72">
        <f>AC242/AB242-1</f>
        <v>0.17619047619047623</v>
      </c>
      <c r="AD243" s="72">
        <f>AD242/AC242-1</f>
        <v>-2.6315789473684181E-2</v>
      </c>
      <c r="AE243" s="72">
        <f>AE242/AD242-1</f>
        <v>-0.18087318087318083</v>
      </c>
      <c r="AF243" s="24"/>
      <c r="AG243" s="72">
        <f>AG242/AE242-1</f>
        <v>0.10152284263959399</v>
      </c>
      <c r="AH243" s="72">
        <f>AH242/AG242-1</f>
        <v>-0.12442396313364057</v>
      </c>
      <c r="AI243" s="72">
        <f>AI242/AH242-1</f>
        <v>0.20526315789473681</v>
      </c>
      <c r="AJ243" s="72">
        <f>AJ242/AI242-1</f>
        <v>-0.15720524017467252</v>
      </c>
      <c r="AK243" s="24"/>
      <c r="AL243" s="72">
        <v>-0.14766839378238339</v>
      </c>
      <c r="AM243" s="72">
        <v>4.8632218844984809E-2</v>
      </c>
      <c r="AN243" s="72">
        <v>0.38260869565217392</v>
      </c>
      <c r="AO243" s="72">
        <v>5.6603773584905648E-2</v>
      </c>
      <c r="AP243" s="24"/>
      <c r="AQ243" s="72">
        <v>-0.23611111111111116</v>
      </c>
      <c r="AR243" s="72">
        <v>-0.10649350649350653</v>
      </c>
      <c r="AS243" s="72">
        <v>-8.720930232558155E-3</v>
      </c>
      <c r="AT243" s="72">
        <v>-0.14369501466275658</v>
      </c>
      <c r="AU243" s="24"/>
      <c r="AV243" s="72">
        <v>0.36986301369863006</v>
      </c>
      <c r="AW243" s="72">
        <v>-0.34499999999999997</v>
      </c>
      <c r="AX243" s="72">
        <v>0.71374045801526709</v>
      </c>
      <c r="AY243" s="72">
        <v>-0.14699331848552344</v>
      </c>
      <c r="AZ243" s="24"/>
      <c r="BA243" s="72">
        <v>-0.25587467362924277</v>
      </c>
    </row>
    <row r="244" spans="1:53" ht="11.1" customHeight="1">
      <c r="A244" s="71" t="s">
        <v>8</v>
      </c>
      <c r="B244" s="24"/>
      <c r="C244" s="73"/>
      <c r="D244" s="73"/>
      <c r="E244" s="73"/>
      <c r="F244" s="73"/>
      <c r="G244" s="24">
        <f>G242/B242-1</f>
        <v>0.16874400767018227</v>
      </c>
      <c r="H244" s="73"/>
      <c r="I244" s="73"/>
      <c r="J244" s="73"/>
      <c r="K244" s="73"/>
      <c r="L244" s="24">
        <f t="shared" ref="L244:R244" si="248">L242/G242-1</f>
        <v>0.19196062346185405</v>
      </c>
      <c r="M244" s="73">
        <f t="shared" si="248"/>
        <v>-0.6188340807174888</v>
      </c>
      <c r="N244" s="73">
        <f t="shared" si="248"/>
        <v>0.33628318584070804</v>
      </c>
      <c r="O244" s="73">
        <f t="shared" si="248"/>
        <v>0.42815249266862176</v>
      </c>
      <c r="P244" s="73">
        <f t="shared" si="248"/>
        <v>-0.36136363636363633</v>
      </c>
      <c r="Q244" s="24">
        <f t="shared" si="248"/>
        <v>-0.14659325533379219</v>
      </c>
      <c r="R244" s="73">
        <f t="shared" si="248"/>
        <v>0.68823529411764706</v>
      </c>
      <c r="S244" s="73">
        <f t="shared" ref="S244:Y244" si="249">S242/N242-1</f>
        <v>-0.25496688741721851</v>
      </c>
      <c r="T244" s="73">
        <f t="shared" si="249"/>
        <v>-9.4455852156057452E-2</v>
      </c>
      <c r="U244" s="73">
        <f t="shared" si="249"/>
        <v>-0.23154804270462648</v>
      </c>
      <c r="V244" s="24">
        <f t="shared" si="249"/>
        <v>-5.7310483870967821E-2</v>
      </c>
      <c r="W244" s="73">
        <f t="shared" si="249"/>
        <v>0.49128919860627174</v>
      </c>
      <c r="X244" s="73">
        <f t="shared" si="249"/>
        <v>-0.28888888888888886</v>
      </c>
      <c r="Y244" s="73">
        <f t="shared" si="249"/>
        <v>-0.28117913832199548</v>
      </c>
      <c r="Z244" s="73">
        <f t="shared" ref="Z244:AI244" si="250">Z242/U242-1</f>
        <v>1.0654363581633368</v>
      </c>
      <c r="AA244" s="24">
        <f t="shared" si="250"/>
        <v>0.15575288617416705</v>
      </c>
      <c r="AB244" s="73">
        <f t="shared" si="250"/>
        <v>-1.8691588785046731E-2</v>
      </c>
      <c r="AC244" s="73">
        <f t="shared" si="250"/>
        <v>2.0874999999999999</v>
      </c>
      <c r="AD244" s="73">
        <f t="shared" si="250"/>
        <v>0.51735015772870652</v>
      </c>
      <c r="AE244" s="73">
        <f t="shared" si="250"/>
        <v>-0.11659192825112108</v>
      </c>
      <c r="AF244" s="24">
        <f t="shared" si="250"/>
        <v>0.32420429311621013</v>
      </c>
      <c r="AG244" s="73">
        <f t="shared" si="250"/>
        <v>3.3333333333333437E-2</v>
      </c>
      <c r="AH244" s="73">
        <f t="shared" si="250"/>
        <v>-0.23076923076923073</v>
      </c>
      <c r="AI244" s="73">
        <f t="shared" si="250"/>
        <v>-4.7817047817047764E-2</v>
      </c>
      <c r="AJ244" s="73">
        <f t="shared" ref="AJ244:AS244" si="251">AJ242/AE242-1</f>
        <v>-2.0304568527918732E-2</v>
      </c>
      <c r="AK244" s="24">
        <v>-7.3225265511458915E-2</v>
      </c>
      <c r="AL244" s="73">
        <v>-0.24193548387096775</v>
      </c>
      <c r="AM244" s="73">
        <v>-9.210526315789469E-2</v>
      </c>
      <c r="AN244" s="73">
        <v>4.148471615720517E-2</v>
      </c>
      <c r="AO244" s="73">
        <v>0.30569948186528495</v>
      </c>
      <c r="AP244" s="24">
        <v>-1.8094089264173441E-3</v>
      </c>
      <c r="AQ244" s="73">
        <v>0.17021276595744683</v>
      </c>
      <c r="AR244" s="73">
        <v>-2.8985507246376274E-3</v>
      </c>
      <c r="AS244" s="73">
        <v>-0.28511530398322849</v>
      </c>
      <c r="AT244" s="73">
        <v>-0.42063492063492058</v>
      </c>
      <c r="AU244" s="24">
        <v>-0.17703927492447125</v>
      </c>
      <c r="AV244" s="73">
        <v>3.8961038961038863E-2</v>
      </c>
      <c r="AW244" s="73">
        <v>-0.23837209302325579</v>
      </c>
      <c r="AX244" s="73">
        <v>0.31671554252199408</v>
      </c>
      <c r="AY244" s="73">
        <v>0.31164383561643838</v>
      </c>
      <c r="AZ244" s="24">
        <v>9.6916299559471453E-2</v>
      </c>
      <c r="BA244" s="73">
        <v>-0.28749999999999998</v>
      </c>
    </row>
    <row r="245" spans="1:53" ht="3.75" customHeight="1">
      <c r="A245" s="44"/>
      <c r="B245" s="45"/>
      <c r="C245" s="45"/>
      <c r="D245" s="45"/>
      <c r="E245" s="45"/>
      <c r="F245" s="45"/>
      <c r="G245" s="45"/>
      <c r="H245" s="45"/>
      <c r="I245" s="45"/>
      <c r="J245" s="45"/>
      <c r="K245" s="45"/>
      <c r="L245" s="45"/>
      <c r="M245" s="45"/>
      <c r="N245" s="45"/>
      <c r="O245" s="45"/>
      <c r="P245" s="45"/>
      <c r="Q245" s="45"/>
      <c r="R245" s="45"/>
      <c r="S245" s="45"/>
      <c r="T245" s="45"/>
      <c r="U245" s="45"/>
      <c r="V245" s="45"/>
      <c r="W245" s="45"/>
      <c r="X245" s="45"/>
      <c r="Y245" s="45"/>
      <c r="Z245" s="45"/>
      <c r="AA245" s="45"/>
      <c r="AB245" s="45"/>
      <c r="AC245" s="45"/>
      <c r="AD245" s="45"/>
      <c r="AE245" s="45"/>
      <c r="AF245" s="45"/>
      <c r="AG245" s="45"/>
      <c r="AH245" s="45"/>
      <c r="AI245" s="45"/>
      <c r="AJ245" s="45"/>
      <c r="AK245" s="45"/>
      <c r="AL245" s="45"/>
      <c r="AM245" s="45"/>
      <c r="AN245" s="45"/>
      <c r="AO245" s="45"/>
      <c r="AP245" s="45"/>
      <c r="AQ245" s="45"/>
      <c r="AR245" s="45"/>
      <c r="AS245" s="45"/>
      <c r="AT245" s="45"/>
      <c r="AU245" s="45"/>
      <c r="AV245" s="45"/>
      <c r="AW245" s="45"/>
      <c r="AX245" s="45"/>
      <c r="AY245" s="45"/>
      <c r="AZ245" s="45"/>
      <c r="BA245" s="45"/>
    </row>
    <row r="246" spans="1:53" ht="1.5" customHeight="1">
      <c r="A246" s="97"/>
      <c r="B246" s="97"/>
      <c r="C246" s="97"/>
      <c r="D246" s="97"/>
      <c r="E246" s="97"/>
      <c r="F246" s="97"/>
      <c r="G246" s="97"/>
      <c r="H246" s="97"/>
      <c r="I246" s="97"/>
      <c r="J246" s="97"/>
      <c r="K246" s="97"/>
      <c r="L246" s="97"/>
      <c r="M246" s="97"/>
      <c r="N246" s="97"/>
      <c r="O246" s="97"/>
      <c r="P246" s="97"/>
      <c r="Q246" s="97"/>
      <c r="R246" s="97"/>
      <c r="S246" s="97"/>
      <c r="T246" s="97"/>
      <c r="U246" s="97"/>
      <c r="V246" s="97"/>
      <c r="W246" s="97"/>
      <c r="X246" s="97"/>
      <c r="Y246" s="97"/>
      <c r="Z246" s="97"/>
      <c r="AA246" s="97"/>
      <c r="AB246" s="97"/>
      <c r="AC246" s="97"/>
      <c r="AD246" s="97"/>
      <c r="AE246" s="97"/>
      <c r="AF246" s="97"/>
      <c r="AG246" s="97"/>
      <c r="AH246" s="97"/>
      <c r="AI246" s="97"/>
      <c r="AJ246" s="97"/>
      <c r="AK246" s="97"/>
      <c r="AL246" s="97"/>
      <c r="AM246" s="97"/>
      <c r="AN246" s="97"/>
      <c r="AO246" s="97"/>
      <c r="AP246" s="97"/>
      <c r="AQ246" s="97"/>
      <c r="AR246" s="97"/>
      <c r="AS246" s="97"/>
      <c r="AT246" s="97"/>
      <c r="AU246" s="97"/>
      <c r="AV246" s="97"/>
      <c r="AW246" s="97"/>
      <c r="AX246" s="97"/>
      <c r="AY246" s="97"/>
      <c r="AZ246" s="97"/>
      <c r="BA246" s="97"/>
    </row>
    <row r="247" spans="1:53" ht="17.25" customHeight="1">
      <c r="A247" s="35" t="s">
        <v>91</v>
      </c>
      <c r="B247" s="27"/>
      <c r="C247" s="27"/>
      <c r="D247" s="27"/>
      <c r="E247" s="27"/>
      <c r="F247" s="27"/>
      <c r="G247" s="27"/>
      <c r="H247" s="27"/>
      <c r="I247" s="27"/>
      <c r="J247" s="27"/>
      <c r="K247" s="27"/>
      <c r="L247" s="27"/>
      <c r="M247" s="27"/>
      <c r="N247" s="27"/>
      <c r="O247" s="27"/>
      <c r="P247" s="27"/>
      <c r="Q247" s="27"/>
      <c r="R247" s="27"/>
      <c r="S247" s="27"/>
      <c r="T247" s="27"/>
      <c r="U247" s="27"/>
      <c r="V247" s="27"/>
      <c r="W247" s="27"/>
      <c r="X247" s="27"/>
      <c r="Y247" s="27"/>
      <c r="Z247" s="27"/>
      <c r="AA247" s="27"/>
      <c r="AB247" s="27"/>
      <c r="AC247" s="27"/>
      <c r="AD247" s="27"/>
      <c r="AE247" s="27"/>
      <c r="AF247" s="27"/>
      <c r="AG247" s="27"/>
      <c r="AH247" s="27"/>
      <c r="AI247" s="27"/>
      <c r="AJ247" s="27"/>
      <c r="AK247" s="27"/>
      <c r="AL247" s="27"/>
      <c r="AM247" s="27"/>
      <c r="AN247" s="27"/>
      <c r="AO247" s="27"/>
      <c r="AP247" s="27"/>
      <c r="AQ247" s="27"/>
      <c r="AR247" s="27"/>
      <c r="AS247" s="27"/>
      <c r="AT247" s="27"/>
      <c r="AU247" s="27"/>
      <c r="AV247" s="27"/>
      <c r="AW247" s="27"/>
      <c r="AX247" s="27"/>
      <c r="AY247" s="27"/>
      <c r="AZ247" s="27"/>
      <c r="BA247" s="27"/>
    </row>
    <row r="248" spans="1:53" ht="17.25" customHeight="1">
      <c r="A248" s="33"/>
      <c r="B248" s="22"/>
      <c r="C248" s="21"/>
      <c r="D248" s="21"/>
      <c r="E248" s="21"/>
      <c r="F248" s="21"/>
      <c r="G248" s="22"/>
      <c r="H248" s="21"/>
      <c r="I248" s="21"/>
      <c r="J248" s="21"/>
      <c r="K248" s="21"/>
      <c r="L248" s="22"/>
      <c r="M248" s="21"/>
      <c r="N248" s="21"/>
      <c r="O248" s="21"/>
      <c r="P248" s="21"/>
      <c r="Q248" s="22"/>
      <c r="R248" s="21"/>
      <c r="S248" s="21"/>
      <c r="T248" s="21"/>
      <c r="U248" s="21"/>
      <c r="V248" s="22"/>
      <c r="W248" s="21"/>
      <c r="X248" s="21"/>
      <c r="Y248" s="21"/>
      <c r="Z248" s="21"/>
      <c r="AA248" s="22"/>
      <c r="AB248" s="21"/>
      <c r="AC248" s="21"/>
      <c r="AD248" s="21"/>
      <c r="AE248" s="21"/>
      <c r="AF248" s="22"/>
      <c r="AG248" s="21"/>
      <c r="AH248" s="21"/>
      <c r="AI248" s="21"/>
      <c r="AJ248" s="21"/>
      <c r="AK248" s="22"/>
      <c r="AL248" s="21"/>
      <c r="AM248" s="21"/>
      <c r="AN248" s="21"/>
      <c r="AO248" s="21"/>
      <c r="AP248" s="22"/>
      <c r="AQ248" s="21"/>
      <c r="AR248" s="21"/>
      <c r="AS248" s="21"/>
      <c r="AT248" s="21"/>
      <c r="AU248" s="22"/>
      <c r="AV248" s="21"/>
      <c r="AW248" s="21"/>
      <c r="AX248" s="21"/>
      <c r="AY248" s="21"/>
      <c r="AZ248" s="22"/>
      <c r="BA248" s="21"/>
    </row>
    <row r="249" spans="1:53" ht="17.25" customHeight="1">
      <c r="A249" s="40" t="s">
        <v>90</v>
      </c>
      <c r="B249" s="41"/>
      <c r="C249" s="42"/>
      <c r="D249" s="42"/>
      <c r="E249" s="42"/>
      <c r="F249" s="42"/>
      <c r="G249" s="41"/>
      <c r="H249" s="42"/>
      <c r="I249" s="42"/>
      <c r="J249" s="42"/>
      <c r="K249" s="42"/>
      <c r="L249" s="41"/>
      <c r="M249" s="42"/>
      <c r="N249" s="42"/>
      <c r="O249" s="42"/>
      <c r="P249" s="42"/>
      <c r="Q249" s="41"/>
      <c r="R249" s="42"/>
      <c r="S249" s="42"/>
      <c r="T249" s="42"/>
      <c r="U249" s="42"/>
      <c r="V249" s="41"/>
      <c r="W249" s="42"/>
      <c r="X249" s="42"/>
      <c r="Y249" s="42"/>
      <c r="Z249" s="42"/>
      <c r="AA249" s="41"/>
      <c r="AB249" s="42"/>
      <c r="AC249" s="42"/>
      <c r="AD249" s="42"/>
      <c r="AE249" s="42"/>
      <c r="AF249" s="41"/>
      <c r="AG249" s="42"/>
      <c r="AH249" s="42"/>
      <c r="AI249" s="42"/>
      <c r="AJ249" s="42"/>
      <c r="AK249" s="41"/>
      <c r="AL249" s="42"/>
      <c r="AM249" s="42"/>
      <c r="AN249" s="42"/>
      <c r="AO249" s="42"/>
      <c r="AP249" s="41"/>
      <c r="AQ249" s="42"/>
      <c r="AR249" s="42"/>
      <c r="AS249" s="42"/>
      <c r="AT249" s="42"/>
      <c r="AU249" s="41"/>
      <c r="AV249" s="42"/>
      <c r="AW249" s="42"/>
      <c r="AX249" s="42"/>
      <c r="AY249" s="42"/>
      <c r="AZ249" s="41"/>
      <c r="BA249" s="42"/>
    </row>
    <row r="250" spans="1:53" ht="12.75" customHeight="1">
      <c r="A250" s="69" t="s">
        <v>99</v>
      </c>
      <c r="B250" s="37">
        <v>2121</v>
      </c>
      <c r="C250" s="80" t="s">
        <v>53</v>
      </c>
      <c r="D250" s="80" t="s">
        <v>53</v>
      </c>
      <c r="E250" s="80" t="s">
        <v>53</v>
      </c>
      <c r="F250" s="80" t="s">
        <v>53</v>
      </c>
      <c r="G250" s="37">
        <v>1873</v>
      </c>
      <c r="H250" s="80" t="s">
        <v>53</v>
      </c>
      <c r="I250" s="80" t="s">
        <v>53</v>
      </c>
      <c r="J250" s="80" t="s">
        <v>53</v>
      </c>
      <c r="K250" s="80" t="s">
        <v>53</v>
      </c>
      <c r="L250" s="37">
        <v>1690</v>
      </c>
      <c r="M250" s="80" t="s">
        <v>53</v>
      </c>
      <c r="N250" s="80" t="s">
        <v>53</v>
      </c>
      <c r="O250" s="80" t="s">
        <v>53</v>
      </c>
      <c r="P250" s="80" t="s">
        <v>53</v>
      </c>
      <c r="Q250" s="37">
        <v>1609</v>
      </c>
      <c r="R250" s="70">
        <v>271</v>
      </c>
      <c r="S250" s="70">
        <v>253</v>
      </c>
      <c r="T250" s="70">
        <v>282</v>
      </c>
      <c r="U250" s="70">
        <f>V250-R250-S250-T250</f>
        <v>268</v>
      </c>
      <c r="V250" s="37">
        <v>1074</v>
      </c>
      <c r="W250" s="70">
        <v>237</v>
      </c>
      <c r="X250" s="70">
        <v>263</v>
      </c>
      <c r="Y250" s="70">
        <v>278</v>
      </c>
      <c r="Z250" s="70">
        <f>AA250-W250-X250-Y250</f>
        <v>255</v>
      </c>
      <c r="AA250" s="37">
        <v>1033</v>
      </c>
      <c r="AB250" s="70">
        <f>AB256+AB259+AB262+AB253+AB265+AB268+AB271</f>
        <v>230</v>
      </c>
      <c r="AC250" s="70">
        <f>AC256+AC259+AC262+AC253+AC265+AC268+AC271</f>
        <v>218</v>
      </c>
      <c r="AD250" s="70">
        <f>AD256+AD259+AD262+AD253+AD265+AD268+AD271</f>
        <v>224</v>
      </c>
      <c r="AE250" s="70">
        <f>AF250-AB250-AC250-AD250</f>
        <v>223</v>
      </c>
      <c r="AF250" s="37">
        <f>AF256+AF259+AF262+AF253+AF265+AF268+AF271</f>
        <v>895</v>
      </c>
      <c r="AG250" s="70">
        <f>AG256+AG259+AG262+AG253+AG265+AG268+AG271</f>
        <v>190</v>
      </c>
      <c r="AH250" s="70">
        <f>AH256+AH259+AH262+AH253+AH265+AH268+AH271</f>
        <v>188</v>
      </c>
      <c r="AI250" s="70">
        <f>AI256+AI259+AI262+AI253+AI265+AI268+AI271</f>
        <v>203</v>
      </c>
      <c r="AJ250" s="70">
        <f>AK250-AG250-AH250-AI250</f>
        <v>196</v>
      </c>
      <c r="AK250" s="37">
        <v>777</v>
      </c>
      <c r="AL250" s="70">
        <v>180</v>
      </c>
      <c r="AM250" s="70">
        <v>176</v>
      </c>
      <c r="AN250" s="70">
        <v>186</v>
      </c>
      <c r="AO250" s="70">
        <v>179</v>
      </c>
      <c r="AP250" s="37">
        <v>721</v>
      </c>
      <c r="AQ250" s="70">
        <v>172</v>
      </c>
      <c r="AR250" s="70">
        <v>170</v>
      </c>
      <c r="AS250" s="70">
        <v>183</v>
      </c>
      <c r="AT250" s="70">
        <v>180</v>
      </c>
      <c r="AU250" s="37">
        <v>705</v>
      </c>
      <c r="AV250" s="70">
        <v>165</v>
      </c>
      <c r="AW250" s="70">
        <v>166</v>
      </c>
      <c r="AX250" s="70">
        <v>183</v>
      </c>
      <c r="AY250" s="70">
        <v>163</v>
      </c>
      <c r="AZ250" s="37">
        <v>677</v>
      </c>
      <c r="BA250" s="70">
        <v>140</v>
      </c>
    </row>
    <row r="251" spans="1:53" ht="12.75" customHeight="1">
      <c r="A251" s="71" t="s">
        <v>7</v>
      </c>
      <c r="B251" s="24"/>
      <c r="C251" s="73"/>
      <c r="D251" s="73"/>
      <c r="E251" s="73"/>
      <c r="F251" s="73"/>
      <c r="G251" s="24"/>
      <c r="H251" s="73"/>
      <c r="I251" s="73"/>
      <c r="J251" s="73"/>
      <c r="K251" s="73"/>
      <c r="L251" s="24"/>
      <c r="M251" s="72"/>
      <c r="N251" s="72"/>
      <c r="O251" s="72"/>
      <c r="P251" s="72"/>
      <c r="Q251" s="24"/>
      <c r="R251" s="72"/>
      <c r="S251" s="72">
        <f>S250/R250-1</f>
        <v>-6.6420664206642055E-2</v>
      </c>
      <c r="T251" s="72">
        <f>T250/S250-1</f>
        <v>0.11462450592885376</v>
      </c>
      <c r="U251" s="72">
        <f>U250/T250-1</f>
        <v>-4.9645390070921946E-2</v>
      </c>
      <c r="V251" s="24"/>
      <c r="W251" s="72">
        <f>W250/U250-1</f>
        <v>-0.11567164179104472</v>
      </c>
      <c r="X251" s="72">
        <f>X250/W250-1</f>
        <v>0.10970464135021096</v>
      </c>
      <c r="Y251" s="72">
        <f>Y250/X250-1</f>
        <v>5.7034220532319324E-2</v>
      </c>
      <c r="Z251" s="72">
        <f>Z250/Y250-1</f>
        <v>-8.2733812949640329E-2</v>
      </c>
      <c r="AA251" s="24"/>
      <c r="AB251" s="72">
        <f>AB250/Z250-1</f>
        <v>-9.8039215686274495E-2</v>
      </c>
      <c r="AC251" s="72">
        <f>AC250/AB250-1</f>
        <v>-5.2173913043478293E-2</v>
      </c>
      <c r="AD251" s="72">
        <f>AD250/AC250-1</f>
        <v>2.7522935779816571E-2</v>
      </c>
      <c r="AE251" s="72">
        <f>AE250/AD250-1</f>
        <v>-4.4642857142856984E-3</v>
      </c>
      <c r="AF251" s="24"/>
      <c r="AG251" s="72">
        <f>AG250/AE250-1</f>
        <v>-0.14798206278026904</v>
      </c>
      <c r="AH251" s="72">
        <f>AH250/AG250-1</f>
        <v>-1.0526315789473717E-2</v>
      </c>
      <c r="AI251" s="72">
        <f>AI250/AH250-1</f>
        <v>7.9787234042553168E-2</v>
      </c>
      <c r="AJ251" s="72">
        <f>AJ250/AI250-1</f>
        <v>-3.4482758620689613E-2</v>
      </c>
      <c r="AK251" s="24"/>
      <c r="AL251" s="72">
        <v>-8.1632653061224469E-2</v>
      </c>
      <c r="AM251" s="72">
        <v>-2.2222222222222254E-2</v>
      </c>
      <c r="AN251" s="72">
        <v>5.6818181818181879E-2</v>
      </c>
      <c r="AO251" s="72">
        <v>-3.7634408602150504E-2</v>
      </c>
      <c r="AP251" s="24"/>
      <c r="AQ251" s="72">
        <v>-3.9106145251396662E-2</v>
      </c>
      <c r="AR251" s="72">
        <v>-1.1627906976744207E-2</v>
      </c>
      <c r="AS251" s="72">
        <v>7.6470588235294068E-2</v>
      </c>
      <c r="AT251" s="72">
        <v>-1.6393442622950838E-2</v>
      </c>
      <c r="AU251" s="24"/>
      <c r="AV251" s="72">
        <v>-8.333333333333337E-2</v>
      </c>
      <c r="AW251" s="72">
        <v>6.0606060606060996E-3</v>
      </c>
      <c r="AX251" s="72">
        <v>0.10240963855421681</v>
      </c>
      <c r="AY251" s="72">
        <v>-0.10928961748633881</v>
      </c>
      <c r="AZ251" s="24"/>
      <c r="BA251" s="72">
        <v>-0.14110429447852757</v>
      </c>
    </row>
    <row r="252" spans="1:53" ht="12.75" customHeight="1">
      <c r="A252" s="71" t="s">
        <v>8</v>
      </c>
      <c r="B252" s="24"/>
      <c r="C252" s="73"/>
      <c r="D252" s="73"/>
      <c r="E252" s="73"/>
      <c r="F252" s="73"/>
      <c r="G252" s="24">
        <f>G250/B250-1</f>
        <v>-0.11692597831211693</v>
      </c>
      <c r="H252" s="73"/>
      <c r="I252" s="73"/>
      <c r="J252" s="73"/>
      <c r="K252" s="73"/>
      <c r="L252" s="24">
        <f>L250/G250-1</f>
        <v>-9.7704217832354501E-2</v>
      </c>
      <c r="M252" s="73"/>
      <c r="N252" s="73"/>
      <c r="O252" s="73"/>
      <c r="P252" s="73"/>
      <c r="Q252" s="24">
        <f>Q250/L250-1</f>
        <v>-4.7928994082840237E-2</v>
      </c>
      <c r="R252" s="73"/>
      <c r="S252" s="73"/>
      <c r="T252" s="73"/>
      <c r="U252" s="73"/>
      <c r="V252" s="24">
        <f t="shared" ref="V252:AD252" si="252">V250/Q250-1</f>
        <v>-0.33250466128029832</v>
      </c>
      <c r="W252" s="73">
        <f t="shared" si="252"/>
        <v>-0.12546125461254609</v>
      </c>
      <c r="X252" s="73">
        <f t="shared" si="252"/>
        <v>3.9525691699604737E-2</v>
      </c>
      <c r="Y252" s="73">
        <f t="shared" si="252"/>
        <v>-1.4184397163120588E-2</v>
      </c>
      <c r="Z252" s="73">
        <f t="shared" si="252"/>
        <v>-4.8507462686567138E-2</v>
      </c>
      <c r="AA252" s="24">
        <f t="shared" si="252"/>
        <v>-3.8175046554934866E-2</v>
      </c>
      <c r="AB252" s="73">
        <f t="shared" si="252"/>
        <v>-2.9535864978902926E-2</v>
      </c>
      <c r="AC252" s="73">
        <f t="shared" si="252"/>
        <v>-0.17110266159695819</v>
      </c>
      <c r="AD252" s="73">
        <f t="shared" si="252"/>
        <v>-0.19424460431654678</v>
      </c>
      <c r="AE252" s="73">
        <f t="shared" ref="AE252:AN252" si="253">AE250/Z250-1</f>
        <v>-0.12549019607843137</v>
      </c>
      <c r="AF252" s="24">
        <f t="shared" si="253"/>
        <v>-0.13359148112294283</v>
      </c>
      <c r="AG252" s="73">
        <f t="shared" si="253"/>
        <v>-0.17391304347826086</v>
      </c>
      <c r="AH252" s="73">
        <f t="shared" si="253"/>
        <v>-0.13761467889908252</v>
      </c>
      <c r="AI252" s="73">
        <f t="shared" si="253"/>
        <v>-9.375E-2</v>
      </c>
      <c r="AJ252" s="73">
        <f t="shared" si="253"/>
        <v>-0.12107623318385652</v>
      </c>
      <c r="AK252" s="24">
        <v>-0.13184357541899439</v>
      </c>
      <c r="AL252" s="73">
        <v>-5.2631578947368474E-2</v>
      </c>
      <c r="AM252" s="73">
        <v>-6.3829787234042534E-2</v>
      </c>
      <c r="AN252" s="73">
        <v>-8.3743842364532028E-2</v>
      </c>
      <c r="AO252" s="73">
        <v>-8.6734693877551061E-2</v>
      </c>
      <c r="AP252" s="24">
        <v>-7.2072072072072113E-2</v>
      </c>
      <c r="AQ252" s="73">
        <v>-4.4444444444444398E-2</v>
      </c>
      <c r="AR252" s="73">
        <v>-3.4090909090909061E-2</v>
      </c>
      <c r="AS252" s="73">
        <v>-1.6129032258064502E-2</v>
      </c>
      <c r="AT252" s="73">
        <v>5.5865921787709993E-3</v>
      </c>
      <c r="AU252" s="24">
        <v>-2.2191400832177521E-2</v>
      </c>
      <c r="AV252" s="73">
        <v>-4.0697674418604612E-2</v>
      </c>
      <c r="AW252" s="73">
        <v>-2.352941176470591E-2</v>
      </c>
      <c r="AX252" s="73">
        <v>0</v>
      </c>
      <c r="AY252" s="73">
        <v>-9.4444444444444442E-2</v>
      </c>
      <c r="AZ252" s="24">
        <v>-3.9716312056737535E-2</v>
      </c>
      <c r="BA252" s="73">
        <v>-0.15151515151515149</v>
      </c>
    </row>
    <row r="253" spans="1:53" ht="12.75" customHeight="1">
      <c r="A253" s="69" t="s">
        <v>94</v>
      </c>
      <c r="B253" s="123" t="s">
        <v>45</v>
      </c>
      <c r="C253" s="80" t="s">
        <v>53</v>
      </c>
      <c r="D253" s="80" t="s">
        <v>53</v>
      </c>
      <c r="E253" s="80" t="s">
        <v>53</v>
      </c>
      <c r="F253" s="80" t="s">
        <v>53</v>
      </c>
      <c r="G253" s="123" t="s">
        <v>45</v>
      </c>
      <c r="H253" s="80" t="s">
        <v>53</v>
      </c>
      <c r="I253" s="80" t="s">
        <v>53</v>
      </c>
      <c r="J253" s="80" t="s">
        <v>53</v>
      </c>
      <c r="K253" s="80" t="s">
        <v>53</v>
      </c>
      <c r="L253" s="37">
        <v>278</v>
      </c>
      <c r="M253" s="80" t="s">
        <v>53</v>
      </c>
      <c r="N253" s="80" t="s">
        <v>53</v>
      </c>
      <c r="O253" s="80" t="s">
        <v>53</v>
      </c>
      <c r="P253" s="80" t="s">
        <v>53</v>
      </c>
      <c r="Q253" s="37">
        <v>240</v>
      </c>
      <c r="R253" s="70">
        <v>62</v>
      </c>
      <c r="S253" s="70">
        <v>60</v>
      </c>
      <c r="T253" s="70">
        <v>63</v>
      </c>
      <c r="U253" s="70">
        <f>V253-R253-S253-T253</f>
        <v>62</v>
      </c>
      <c r="V253" s="37">
        <v>247</v>
      </c>
      <c r="W253" s="70">
        <v>63</v>
      </c>
      <c r="X253" s="70">
        <v>59</v>
      </c>
      <c r="Y253" s="70">
        <v>70</v>
      </c>
      <c r="Z253" s="70">
        <f>AA253-W253-X253-Y253</f>
        <v>53</v>
      </c>
      <c r="AA253" s="37">
        <v>245</v>
      </c>
      <c r="AB253" s="70">
        <v>59</v>
      </c>
      <c r="AC253" s="70">
        <v>55</v>
      </c>
      <c r="AD253" s="70">
        <v>61</v>
      </c>
      <c r="AE253" s="147">
        <f>AF253-AB253-AC253-AD253</f>
        <v>58</v>
      </c>
      <c r="AF253" s="37">
        <v>233</v>
      </c>
      <c r="AG253" s="70">
        <v>55</v>
      </c>
      <c r="AH253" s="70">
        <v>53</v>
      </c>
      <c r="AI253" s="70">
        <v>57</v>
      </c>
      <c r="AJ253" s="147">
        <f>AK253-AG253-AH253-AI253</f>
        <v>52</v>
      </c>
      <c r="AK253" s="37">
        <v>217</v>
      </c>
      <c r="AL253" s="70">
        <v>51</v>
      </c>
      <c r="AM253" s="70">
        <v>47</v>
      </c>
      <c r="AN253" s="70">
        <v>54</v>
      </c>
      <c r="AO253" s="147">
        <v>50</v>
      </c>
      <c r="AP253" s="37">
        <v>202</v>
      </c>
      <c r="AQ253" s="70">
        <v>49</v>
      </c>
      <c r="AR253" s="70">
        <v>46</v>
      </c>
      <c r="AS253" s="70">
        <v>49</v>
      </c>
      <c r="AT253" s="147">
        <v>45</v>
      </c>
      <c r="AU253" s="37">
        <v>189</v>
      </c>
      <c r="AV253" s="70">
        <v>47</v>
      </c>
      <c r="AW253" s="70">
        <v>45</v>
      </c>
      <c r="AX253" s="70">
        <v>49</v>
      </c>
      <c r="AY253" s="147">
        <v>44</v>
      </c>
      <c r="AZ253" s="37">
        <v>185</v>
      </c>
      <c r="BA253" s="70">
        <v>34</v>
      </c>
    </row>
    <row r="254" spans="1:53" ht="12.75" customHeight="1">
      <c r="A254" s="71" t="s">
        <v>7</v>
      </c>
      <c r="B254" s="24"/>
      <c r="C254" s="72"/>
      <c r="D254" s="72"/>
      <c r="E254" s="72"/>
      <c r="F254" s="72"/>
      <c r="G254" s="24"/>
      <c r="H254" s="72"/>
      <c r="I254" s="72"/>
      <c r="J254" s="72"/>
      <c r="K254" s="72"/>
      <c r="L254" s="24"/>
      <c r="M254" s="72"/>
      <c r="N254" s="72"/>
      <c r="O254" s="72"/>
      <c r="P254" s="72"/>
      <c r="Q254" s="24"/>
      <c r="R254" s="72"/>
      <c r="S254" s="72">
        <f>S253/R253-1</f>
        <v>-3.2258064516129004E-2</v>
      </c>
      <c r="T254" s="72">
        <f>T253/S253-1</f>
        <v>5.0000000000000044E-2</v>
      </c>
      <c r="U254" s="72">
        <f>U253/T253-1</f>
        <v>-1.5873015873015928E-2</v>
      </c>
      <c r="V254" s="24"/>
      <c r="W254" s="72">
        <f>W253/U253-1</f>
        <v>1.6129032258064502E-2</v>
      </c>
      <c r="X254" s="72">
        <f>X253/W253-1</f>
        <v>-6.3492063492063489E-2</v>
      </c>
      <c r="Y254" s="72">
        <f>Y253/X253-1</f>
        <v>0.18644067796610164</v>
      </c>
      <c r="Z254" s="72">
        <f>Z253/Y253-1</f>
        <v>-0.24285714285714288</v>
      </c>
      <c r="AA254" s="24"/>
      <c r="AB254" s="72">
        <f>AB253/Z253-1</f>
        <v>0.1132075471698113</v>
      </c>
      <c r="AC254" s="72">
        <f>AC253/AB253-1</f>
        <v>-6.7796610169491567E-2</v>
      </c>
      <c r="AD254" s="72">
        <f>AD253/AC253-1</f>
        <v>0.10909090909090913</v>
      </c>
      <c r="AE254" s="72">
        <f>AE253/AD253-1</f>
        <v>-4.9180327868852514E-2</v>
      </c>
      <c r="AF254" s="24"/>
      <c r="AG254" s="72">
        <f>AG253/AE253-1</f>
        <v>-5.1724137931034475E-2</v>
      </c>
      <c r="AH254" s="72">
        <f>AH253/AG253-1</f>
        <v>-3.6363636363636376E-2</v>
      </c>
      <c r="AI254" s="72">
        <f>AI253/AH253-1</f>
        <v>7.547169811320753E-2</v>
      </c>
      <c r="AJ254" s="72">
        <f>AJ253/AI253-1</f>
        <v>-8.7719298245614086E-2</v>
      </c>
      <c r="AK254" s="24"/>
      <c r="AL254" s="72">
        <v>-1.9230769230769273E-2</v>
      </c>
      <c r="AM254" s="72">
        <v>-7.8431372549019662E-2</v>
      </c>
      <c r="AN254" s="72">
        <v>0.14893617021276606</v>
      </c>
      <c r="AO254" s="72">
        <v>-7.407407407407407E-2</v>
      </c>
      <c r="AP254" s="24"/>
      <c r="AQ254" s="72">
        <v>-2.0000000000000018E-2</v>
      </c>
      <c r="AR254" s="72">
        <v>-6.1224489795918324E-2</v>
      </c>
      <c r="AS254" s="72">
        <v>6.5217391304347894E-2</v>
      </c>
      <c r="AT254" s="72">
        <v>-8.1632653061224469E-2</v>
      </c>
      <c r="AU254" s="24"/>
      <c r="AV254" s="72">
        <v>4.4444444444444509E-2</v>
      </c>
      <c r="AW254" s="72">
        <v>-4.2553191489361653E-2</v>
      </c>
      <c r="AX254" s="72">
        <v>8.8888888888888795E-2</v>
      </c>
      <c r="AY254" s="72">
        <v>-0.10204081632653061</v>
      </c>
      <c r="AZ254" s="24"/>
      <c r="BA254" s="72">
        <v>-0.22727272727272729</v>
      </c>
    </row>
    <row r="255" spans="1:53" ht="12.75" customHeight="1">
      <c r="A255" s="71" t="s">
        <v>8</v>
      </c>
      <c r="B255" s="24"/>
      <c r="C255" s="73"/>
      <c r="D255" s="73"/>
      <c r="E255" s="73"/>
      <c r="F255" s="73"/>
      <c r="G255" s="24"/>
      <c r="H255" s="73"/>
      <c r="I255" s="73"/>
      <c r="J255" s="73"/>
      <c r="K255" s="73"/>
      <c r="L255" s="24"/>
      <c r="M255" s="73"/>
      <c r="N255" s="73"/>
      <c r="O255" s="73"/>
      <c r="P255" s="73"/>
      <c r="Q255" s="24">
        <f>Q253/L253-1</f>
        <v>-0.13669064748201443</v>
      </c>
      <c r="R255" s="73"/>
      <c r="S255" s="73"/>
      <c r="T255" s="73"/>
      <c r="U255" s="73"/>
      <c r="V255" s="24">
        <f t="shared" ref="V255:AD255" si="254">V253/Q253-1</f>
        <v>2.9166666666666563E-2</v>
      </c>
      <c r="W255" s="73">
        <f t="shared" si="254"/>
        <v>1.6129032258064502E-2</v>
      </c>
      <c r="X255" s="73">
        <f t="shared" si="254"/>
        <v>-1.6666666666666718E-2</v>
      </c>
      <c r="Y255" s="73">
        <f t="shared" si="254"/>
        <v>0.11111111111111116</v>
      </c>
      <c r="Z255" s="73">
        <f t="shared" si="254"/>
        <v>-0.14516129032258063</v>
      </c>
      <c r="AA255" s="24">
        <f t="shared" si="254"/>
        <v>-8.0971659919027994E-3</v>
      </c>
      <c r="AB255" s="73">
        <f t="shared" si="254"/>
        <v>-6.3492063492063489E-2</v>
      </c>
      <c r="AC255" s="73">
        <f t="shared" si="254"/>
        <v>-6.7796610169491567E-2</v>
      </c>
      <c r="AD255" s="73">
        <f t="shared" si="254"/>
        <v>-0.12857142857142856</v>
      </c>
      <c r="AE255" s="73">
        <f t="shared" ref="AE255:AN255" si="255">AE253/Z253-1</f>
        <v>9.4339622641509413E-2</v>
      </c>
      <c r="AF255" s="24">
        <f t="shared" si="255"/>
        <v>-4.8979591836734726E-2</v>
      </c>
      <c r="AG255" s="73">
        <f t="shared" si="255"/>
        <v>-6.7796610169491567E-2</v>
      </c>
      <c r="AH255" s="73">
        <f t="shared" si="255"/>
        <v>-3.6363636363636376E-2</v>
      </c>
      <c r="AI255" s="73">
        <f t="shared" si="255"/>
        <v>-6.557377049180324E-2</v>
      </c>
      <c r="AJ255" s="73">
        <f t="shared" si="255"/>
        <v>-0.10344827586206895</v>
      </c>
      <c r="AK255" s="24">
        <v>-6.8669527896995763E-2</v>
      </c>
      <c r="AL255" s="73">
        <v>-7.2727272727272751E-2</v>
      </c>
      <c r="AM255" s="73">
        <v>-0.1132075471698113</v>
      </c>
      <c r="AN255" s="73">
        <v>-5.2631578947368474E-2</v>
      </c>
      <c r="AO255" s="73">
        <v>-3.8461538461538436E-2</v>
      </c>
      <c r="AP255" s="24">
        <v>-6.9124423963133674E-2</v>
      </c>
      <c r="AQ255" s="73">
        <v>-3.9215686274509776E-2</v>
      </c>
      <c r="AR255" s="73">
        <v>-2.1276595744680882E-2</v>
      </c>
      <c r="AS255" s="73">
        <v>-9.259259259259256E-2</v>
      </c>
      <c r="AT255" s="73">
        <v>-9.9999999999999978E-2</v>
      </c>
      <c r="AU255" s="24">
        <v>-6.4356435643564303E-2</v>
      </c>
      <c r="AV255" s="73">
        <v>-4.081632653061229E-2</v>
      </c>
      <c r="AW255" s="73">
        <v>-2.1739130434782594E-2</v>
      </c>
      <c r="AX255" s="73">
        <v>0</v>
      </c>
      <c r="AY255" s="73">
        <v>-2.2222222222222254E-2</v>
      </c>
      <c r="AZ255" s="24">
        <v>-2.1164021164021163E-2</v>
      </c>
      <c r="BA255" s="73">
        <v>-0.27659574468085102</v>
      </c>
    </row>
    <row r="256" spans="1:53" ht="12.75" customHeight="1">
      <c r="A256" s="69" t="s">
        <v>92</v>
      </c>
      <c r="B256" s="123" t="s">
        <v>45</v>
      </c>
      <c r="C256" s="80" t="s">
        <v>53</v>
      </c>
      <c r="D256" s="80" t="s">
        <v>53</v>
      </c>
      <c r="E256" s="80" t="s">
        <v>53</v>
      </c>
      <c r="F256" s="80" t="s">
        <v>53</v>
      </c>
      <c r="G256" s="123" t="s">
        <v>45</v>
      </c>
      <c r="H256" s="80" t="s">
        <v>53</v>
      </c>
      <c r="I256" s="80" t="s">
        <v>53</v>
      </c>
      <c r="J256" s="80" t="s">
        <v>53</v>
      </c>
      <c r="K256" s="80" t="s">
        <v>53</v>
      </c>
      <c r="L256" s="37">
        <v>871</v>
      </c>
      <c r="M256" s="80" t="s">
        <v>53</v>
      </c>
      <c r="N256" s="80" t="s">
        <v>53</v>
      </c>
      <c r="O256" s="80" t="s">
        <v>53</v>
      </c>
      <c r="P256" s="80" t="s">
        <v>53</v>
      </c>
      <c r="Q256" s="37">
        <v>855</v>
      </c>
      <c r="R256" s="70">
        <v>79</v>
      </c>
      <c r="S256" s="70">
        <v>78</v>
      </c>
      <c r="T256" s="70">
        <v>79</v>
      </c>
      <c r="U256" s="70">
        <f>V256-R256-S256-T256</f>
        <v>78</v>
      </c>
      <c r="V256" s="37">
        <v>314</v>
      </c>
      <c r="W256" s="70">
        <v>75</v>
      </c>
      <c r="X256" s="70">
        <v>72</v>
      </c>
      <c r="Y256" s="70">
        <v>70</v>
      </c>
      <c r="Z256" s="70">
        <f>AA256-W256-X256-Y256</f>
        <v>64</v>
      </c>
      <c r="AA256" s="37">
        <v>281</v>
      </c>
      <c r="AB256" s="70">
        <v>57</v>
      </c>
      <c r="AC256" s="70">
        <v>58</v>
      </c>
      <c r="AD256" s="70">
        <v>55</v>
      </c>
      <c r="AE256" s="70">
        <f>AF256-AB256-AC256-AD256</f>
        <v>50</v>
      </c>
      <c r="AF256" s="37">
        <v>220</v>
      </c>
      <c r="AG256" s="70">
        <v>42</v>
      </c>
      <c r="AH256" s="70">
        <v>39</v>
      </c>
      <c r="AI256" s="70">
        <v>42</v>
      </c>
      <c r="AJ256" s="70">
        <f>AK256-AG256-AH256-AI256</f>
        <v>38</v>
      </c>
      <c r="AK256" s="37">
        <v>161</v>
      </c>
      <c r="AL256" s="70">
        <v>38</v>
      </c>
      <c r="AM256" s="70">
        <v>37</v>
      </c>
      <c r="AN256" s="70">
        <v>35</v>
      </c>
      <c r="AO256" s="70">
        <v>35</v>
      </c>
      <c r="AP256" s="37">
        <v>145</v>
      </c>
      <c r="AQ256" s="70">
        <v>34</v>
      </c>
      <c r="AR256" s="70">
        <v>33</v>
      </c>
      <c r="AS256" s="70">
        <v>34</v>
      </c>
      <c r="AT256" s="70">
        <v>29</v>
      </c>
      <c r="AU256" s="37">
        <v>130</v>
      </c>
      <c r="AV256" s="70">
        <v>31</v>
      </c>
      <c r="AW256" s="70">
        <v>29</v>
      </c>
      <c r="AX256" s="70">
        <v>31</v>
      </c>
      <c r="AY256" s="70">
        <v>27</v>
      </c>
      <c r="AZ256" s="37">
        <v>118</v>
      </c>
      <c r="BA256" s="70">
        <v>28</v>
      </c>
    </row>
    <row r="257" spans="1:53" ht="12.75" customHeight="1">
      <c r="A257" s="71" t="s">
        <v>7</v>
      </c>
      <c r="B257" s="24"/>
      <c r="C257" s="72"/>
      <c r="D257" s="72"/>
      <c r="E257" s="72"/>
      <c r="F257" s="72"/>
      <c r="G257" s="24"/>
      <c r="H257" s="72"/>
      <c r="I257" s="72"/>
      <c r="J257" s="72"/>
      <c r="K257" s="72"/>
      <c r="L257" s="24"/>
      <c r="M257" s="72"/>
      <c r="N257" s="72"/>
      <c r="O257" s="72"/>
      <c r="P257" s="72"/>
      <c r="Q257" s="24"/>
      <c r="R257" s="72"/>
      <c r="S257" s="72">
        <f>S256/R256-1</f>
        <v>-1.2658227848101222E-2</v>
      </c>
      <c r="T257" s="72">
        <f>T256/S256-1</f>
        <v>1.2820512820512775E-2</v>
      </c>
      <c r="U257" s="72">
        <f>U256/T256-1</f>
        <v>-1.2658227848101222E-2</v>
      </c>
      <c r="V257" s="24"/>
      <c r="W257" s="72">
        <f>W256/U256-1</f>
        <v>-3.8461538461538436E-2</v>
      </c>
      <c r="X257" s="72">
        <f>X256/W256-1</f>
        <v>-4.0000000000000036E-2</v>
      </c>
      <c r="Y257" s="72">
        <f>Y256/X256-1</f>
        <v>-2.777777777777779E-2</v>
      </c>
      <c r="Z257" s="72">
        <f>Z256/Y256-1</f>
        <v>-8.5714285714285743E-2</v>
      </c>
      <c r="AA257" s="24"/>
      <c r="AB257" s="72">
        <f>AB256/Z256-1</f>
        <v>-0.109375</v>
      </c>
      <c r="AC257" s="72">
        <f>AC256/AB256-1</f>
        <v>1.7543859649122862E-2</v>
      </c>
      <c r="AD257" s="72">
        <f>AD256/AC256-1</f>
        <v>-5.1724137931034475E-2</v>
      </c>
      <c r="AE257" s="72">
        <f>AE256/AD256-1</f>
        <v>-9.0909090909090939E-2</v>
      </c>
      <c r="AF257" s="24"/>
      <c r="AG257" s="72">
        <f>AG256/AE256-1</f>
        <v>-0.16000000000000003</v>
      </c>
      <c r="AH257" s="72">
        <f>AH256/AG256-1</f>
        <v>-7.1428571428571397E-2</v>
      </c>
      <c r="AI257" s="72">
        <f>AI256/AH256-1</f>
        <v>7.6923076923076872E-2</v>
      </c>
      <c r="AJ257" s="72">
        <f>AJ256/AI256-1</f>
        <v>-9.5238095238095233E-2</v>
      </c>
      <c r="AK257" s="24"/>
      <c r="AL257" s="72">
        <v>0</v>
      </c>
      <c r="AM257" s="72">
        <v>-2.6315789473684181E-2</v>
      </c>
      <c r="AN257" s="72">
        <v>-5.4054054054054057E-2</v>
      </c>
      <c r="AO257" s="72">
        <v>0</v>
      </c>
      <c r="AP257" s="24"/>
      <c r="AQ257" s="72">
        <v>-2.8571428571428581E-2</v>
      </c>
      <c r="AR257" s="72">
        <v>-2.9411764705882359E-2</v>
      </c>
      <c r="AS257" s="72">
        <v>3.0303030303030276E-2</v>
      </c>
      <c r="AT257" s="72">
        <v>-0.1470588235294118</v>
      </c>
      <c r="AU257" s="24"/>
      <c r="AV257" s="72">
        <v>6.8965517241379226E-2</v>
      </c>
      <c r="AW257" s="72">
        <v>-6.4516129032258118E-2</v>
      </c>
      <c r="AX257" s="72">
        <v>6.8965517241379226E-2</v>
      </c>
      <c r="AY257" s="72">
        <v>-0.12903225806451613</v>
      </c>
      <c r="AZ257" s="24"/>
      <c r="BA257" s="72">
        <v>3.7037037037036979E-2</v>
      </c>
    </row>
    <row r="258" spans="1:53" ht="12.75" customHeight="1">
      <c r="A258" s="71" t="s">
        <v>8</v>
      </c>
      <c r="B258" s="24"/>
      <c r="C258" s="73"/>
      <c r="D258" s="73"/>
      <c r="E258" s="73"/>
      <c r="F258" s="73"/>
      <c r="G258" s="24"/>
      <c r="H258" s="73"/>
      <c r="I258" s="73"/>
      <c r="J258" s="73"/>
      <c r="K258" s="73"/>
      <c r="L258" s="24"/>
      <c r="M258" s="73"/>
      <c r="N258" s="73"/>
      <c r="O258" s="73"/>
      <c r="P258" s="73"/>
      <c r="Q258" s="24">
        <f>Q256/L256-1</f>
        <v>-1.8369690011481032E-2</v>
      </c>
      <c r="R258" s="73"/>
      <c r="S258" s="73"/>
      <c r="T258" s="73"/>
      <c r="U258" s="73"/>
      <c r="V258" s="24">
        <f t="shared" ref="V258:AD258" si="256">V256/Q256-1</f>
        <v>-0.63274853801169595</v>
      </c>
      <c r="W258" s="73">
        <f t="shared" si="256"/>
        <v>-5.0632911392405111E-2</v>
      </c>
      <c r="X258" s="73">
        <f t="shared" si="256"/>
        <v>-7.6923076923076872E-2</v>
      </c>
      <c r="Y258" s="73">
        <f t="shared" si="256"/>
        <v>-0.11392405063291144</v>
      </c>
      <c r="Z258" s="73">
        <f t="shared" si="256"/>
        <v>-0.17948717948717952</v>
      </c>
      <c r="AA258" s="24">
        <f t="shared" si="256"/>
        <v>-0.10509554140127386</v>
      </c>
      <c r="AB258" s="73">
        <f t="shared" si="256"/>
        <v>-0.24</v>
      </c>
      <c r="AC258" s="73">
        <f t="shared" si="256"/>
        <v>-0.19444444444444442</v>
      </c>
      <c r="AD258" s="73">
        <f t="shared" si="256"/>
        <v>-0.2142857142857143</v>
      </c>
      <c r="AE258" s="73">
        <f t="shared" ref="AE258:AN258" si="257">AE256/Z256-1</f>
        <v>-0.21875</v>
      </c>
      <c r="AF258" s="24">
        <f t="shared" si="257"/>
        <v>-0.2170818505338078</v>
      </c>
      <c r="AG258" s="73">
        <f t="shared" si="257"/>
        <v>-0.26315789473684215</v>
      </c>
      <c r="AH258" s="73">
        <f t="shared" si="257"/>
        <v>-0.32758620689655171</v>
      </c>
      <c r="AI258" s="73">
        <f t="shared" si="257"/>
        <v>-0.23636363636363633</v>
      </c>
      <c r="AJ258" s="73">
        <f t="shared" si="257"/>
        <v>-0.24</v>
      </c>
      <c r="AK258" s="24">
        <v>-0.26818181818181819</v>
      </c>
      <c r="AL258" s="73">
        <v>-9.5238095238095233E-2</v>
      </c>
      <c r="AM258" s="73">
        <v>-5.1282051282051322E-2</v>
      </c>
      <c r="AN258" s="73">
        <v>-0.16666666666666663</v>
      </c>
      <c r="AO258" s="73">
        <v>-7.8947368421052655E-2</v>
      </c>
      <c r="AP258" s="24">
        <v>-9.9378881987577605E-2</v>
      </c>
      <c r="AQ258" s="73">
        <v>-0.10526315789473684</v>
      </c>
      <c r="AR258" s="73">
        <v>-0.10810810810810811</v>
      </c>
      <c r="AS258" s="73">
        <v>-2.8571428571428581E-2</v>
      </c>
      <c r="AT258" s="73">
        <v>-0.17142857142857137</v>
      </c>
      <c r="AU258" s="24">
        <v>-0.10344827586206895</v>
      </c>
      <c r="AV258" s="73">
        <v>-8.8235294117647078E-2</v>
      </c>
      <c r="AW258" s="73">
        <v>-0.12121212121212122</v>
      </c>
      <c r="AX258" s="73">
        <v>-8.8235294117647078E-2</v>
      </c>
      <c r="AY258" s="73">
        <v>-6.8965517241379337E-2</v>
      </c>
      <c r="AZ258" s="24">
        <v>-9.2307692307692313E-2</v>
      </c>
      <c r="BA258" s="73">
        <v>-9.6774193548387122E-2</v>
      </c>
    </row>
    <row r="259" spans="1:53" ht="12.75" customHeight="1">
      <c r="A259" s="69" t="s">
        <v>105</v>
      </c>
      <c r="B259" s="123" t="s">
        <v>45</v>
      </c>
      <c r="C259" s="80" t="s">
        <v>53</v>
      </c>
      <c r="D259" s="80" t="s">
        <v>53</v>
      </c>
      <c r="E259" s="80" t="s">
        <v>53</v>
      </c>
      <c r="F259" s="80" t="s">
        <v>53</v>
      </c>
      <c r="G259" s="123" t="s">
        <v>45</v>
      </c>
      <c r="H259" s="80" t="s">
        <v>53</v>
      </c>
      <c r="I259" s="80" t="s">
        <v>53</v>
      </c>
      <c r="J259" s="80" t="s">
        <v>53</v>
      </c>
      <c r="K259" s="80" t="s">
        <v>53</v>
      </c>
      <c r="L259" s="37">
        <v>218</v>
      </c>
      <c r="M259" s="80" t="s">
        <v>53</v>
      </c>
      <c r="N259" s="80" t="s">
        <v>53</v>
      </c>
      <c r="O259" s="80" t="s">
        <v>53</v>
      </c>
      <c r="P259" s="80" t="s">
        <v>53</v>
      </c>
      <c r="Q259" s="37">
        <v>196</v>
      </c>
      <c r="R259" s="70">
        <v>47</v>
      </c>
      <c r="S259" s="70">
        <v>42</v>
      </c>
      <c r="T259" s="70">
        <v>58</v>
      </c>
      <c r="U259" s="70">
        <f>V259-R259-S259-T259</f>
        <v>47</v>
      </c>
      <c r="V259" s="37">
        <v>194</v>
      </c>
      <c r="W259" s="70">
        <v>8</v>
      </c>
      <c r="X259" s="70">
        <v>42</v>
      </c>
      <c r="Y259" s="70">
        <v>54</v>
      </c>
      <c r="Z259" s="70">
        <f>AA259-W259-X259-Y259</f>
        <v>55</v>
      </c>
      <c r="AA259" s="37">
        <v>159</v>
      </c>
      <c r="AB259" s="70">
        <v>44</v>
      </c>
      <c r="AC259" s="70">
        <v>41</v>
      </c>
      <c r="AD259" s="70">
        <v>47</v>
      </c>
      <c r="AE259" s="70">
        <f>AF259-AB259-AC259-AD259</f>
        <v>54</v>
      </c>
      <c r="AF259" s="37">
        <v>186</v>
      </c>
      <c r="AG259" s="70">
        <v>48</v>
      </c>
      <c r="AH259" s="147">
        <v>52</v>
      </c>
      <c r="AI259" s="70">
        <v>59</v>
      </c>
      <c r="AJ259" s="70">
        <f>AK259-AG259-AH259-AI259</f>
        <v>54</v>
      </c>
      <c r="AK259" s="37">
        <v>213</v>
      </c>
      <c r="AL259" s="70">
        <v>47</v>
      </c>
      <c r="AM259" s="70">
        <v>48</v>
      </c>
      <c r="AN259" s="70">
        <v>49</v>
      </c>
      <c r="AO259" s="70">
        <v>44</v>
      </c>
      <c r="AP259" s="37">
        <v>188</v>
      </c>
      <c r="AQ259" s="70">
        <v>43</v>
      </c>
      <c r="AR259" s="70">
        <v>44</v>
      </c>
      <c r="AS259" s="70">
        <v>55</v>
      </c>
      <c r="AT259" s="70">
        <v>53</v>
      </c>
      <c r="AU259" s="37">
        <v>195</v>
      </c>
      <c r="AV259" s="70">
        <v>42</v>
      </c>
      <c r="AW259" s="70">
        <v>44</v>
      </c>
      <c r="AX259" s="70">
        <v>54</v>
      </c>
      <c r="AY259" s="70">
        <v>48</v>
      </c>
      <c r="AZ259" s="37">
        <v>188</v>
      </c>
      <c r="BA259" s="70">
        <v>40</v>
      </c>
    </row>
    <row r="260" spans="1:53" ht="12.75" customHeight="1">
      <c r="A260" s="71" t="s">
        <v>7</v>
      </c>
      <c r="B260" s="24"/>
      <c r="C260" s="72"/>
      <c r="D260" s="72"/>
      <c r="E260" s="72"/>
      <c r="F260" s="72"/>
      <c r="G260" s="24"/>
      <c r="H260" s="72"/>
      <c r="I260" s="72"/>
      <c r="J260" s="72"/>
      <c r="K260" s="72"/>
      <c r="L260" s="24"/>
      <c r="M260" s="72"/>
      <c r="N260" s="72"/>
      <c r="O260" s="72"/>
      <c r="P260" s="72"/>
      <c r="Q260" s="24"/>
      <c r="R260" s="72"/>
      <c r="S260" s="72">
        <f>S259/R259-1</f>
        <v>-0.1063829787234043</v>
      </c>
      <c r="T260" s="72">
        <f>T259/S259-1</f>
        <v>0.38095238095238093</v>
      </c>
      <c r="U260" s="72">
        <f>U259/T259-1</f>
        <v>-0.18965517241379315</v>
      </c>
      <c r="V260" s="24"/>
      <c r="W260" s="72">
        <f>W259/U259-1</f>
        <v>-0.82978723404255317</v>
      </c>
      <c r="X260" s="72">
        <f>X259/W259-1</f>
        <v>4.25</v>
      </c>
      <c r="Y260" s="72">
        <f>Y259/X259-1</f>
        <v>0.28571428571428581</v>
      </c>
      <c r="Z260" s="72">
        <f>Z259/Y259-1</f>
        <v>1.8518518518518601E-2</v>
      </c>
      <c r="AA260" s="24"/>
      <c r="AB260" s="72">
        <f>AB259/Z259-1</f>
        <v>-0.19999999999999996</v>
      </c>
      <c r="AC260" s="72">
        <f>AC259/AB259-1</f>
        <v>-6.8181818181818232E-2</v>
      </c>
      <c r="AD260" s="72">
        <f>AD259/AC259-1</f>
        <v>0.14634146341463405</v>
      </c>
      <c r="AE260" s="72">
        <f>AE259/AD259-1</f>
        <v>0.14893617021276606</v>
      </c>
      <c r="AF260" s="24"/>
      <c r="AG260" s="72">
        <f>AG259/AE259-1</f>
        <v>-0.11111111111111116</v>
      </c>
      <c r="AH260" s="72">
        <f>AH259/AG259-1</f>
        <v>8.3333333333333259E-2</v>
      </c>
      <c r="AI260" s="72">
        <f>AI259/AH259-1</f>
        <v>0.13461538461538458</v>
      </c>
      <c r="AJ260" s="72">
        <f>AJ259/AI259-1</f>
        <v>-8.4745762711864403E-2</v>
      </c>
      <c r="AK260" s="24"/>
      <c r="AL260" s="72">
        <v>-0.12962962962962965</v>
      </c>
      <c r="AM260" s="72">
        <v>2.1276595744680771E-2</v>
      </c>
      <c r="AN260" s="72">
        <v>2.0833333333333259E-2</v>
      </c>
      <c r="AO260" s="72">
        <v>-0.10204081632653061</v>
      </c>
      <c r="AP260" s="24"/>
      <c r="AQ260" s="72">
        <v>-2.2727272727272707E-2</v>
      </c>
      <c r="AR260" s="72">
        <v>2.3255813953488413E-2</v>
      </c>
      <c r="AS260" s="72">
        <v>0.25</v>
      </c>
      <c r="AT260" s="72">
        <v>-3.6363636363636376E-2</v>
      </c>
      <c r="AU260" s="24"/>
      <c r="AV260" s="72">
        <v>-0.20754716981132071</v>
      </c>
      <c r="AW260" s="72">
        <v>4.7619047619047672E-2</v>
      </c>
      <c r="AX260" s="72">
        <v>0.22727272727272729</v>
      </c>
      <c r="AY260" s="72">
        <v>-0.11111111111111116</v>
      </c>
      <c r="AZ260" s="24"/>
      <c r="BA260" s="72">
        <v>-0.16666666666666663</v>
      </c>
    </row>
    <row r="261" spans="1:53" ht="12.75" customHeight="1">
      <c r="A261" s="71" t="s">
        <v>8</v>
      </c>
      <c r="B261" s="24"/>
      <c r="C261" s="73"/>
      <c r="D261" s="73"/>
      <c r="E261" s="73"/>
      <c r="F261" s="73"/>
      <c r="G261" s="24"/>
      <c r="H261" s="73"/>
      <c r="I261" s="73"/>
      <c r="J261" s="73"/>
      <c r="K261" s="73"/>
      <c r="L261" s="24"/>
      <c r="M261" s="73"/>
      <c r="N261" s="73"/>
      <c r="O261" s="73"/>
      <c r="P261" s="73"/>
      <c r="Q261" s="24">
        <f>Q259/L259-1</f>
        <v>-0.1009174311926605</v>
      </c>
      <c r="R261" s="73"/>
      <c r="S261" s="73"/>
      <c r="T261" s="73"/>
      <c r="U261" s="73"/>
      <c r="V261" s="24">
        <f t="shared" ref="V261:AD261" si="258">V259/Q259-1</f>
        <v>-1.0204081632653073E-2</v>
      </c>
      <c r="W261" s="73">
        <f t="shared" si="258"/>
        <v>-0.82978723404255317</v>
      </c>
      <c r="X261" s="73">
        <f t="shared" si="258"/>
        <v>0</v>
      </c>
      <c r="Y261" s="73">
        <f t="shared" si="258"/>
        <v>-6.8965517241379337E-2</v>
      </c>
      <c r="Z261" s="73">
        <f t="shared" si="258"/>
        <v>0.17021276595744683</v>
      </c>
      <c r="AA261" s="24">
        <f t="shared" si="258"/>
        <v>-0.18041237113402064</v>
      </c>
      <c r="AB261" s="73">
        <f t="shared" si="258"/>
        <v>4.5</v>
      </c>
      <c r="AC261" s="73">
        <f t="shared" si="258"/>
        <v>-2.3809523809523836E-2</v>
      </c>
      <c r="AD261" s="73">
        <f t="shared" si="258"/>
        <v>-0.12962962962962965</v>
      </c>
      <c r="AE261" s="73">
        <f t="shared" ref="AE261:AN261" si="259">AE259/Z259-1</f>
        <v>-1.8181818181818188E-2</v>
      </c>
      <c r="AF261" s="24">
        <f t="shared" si="259"/>
        <v>0.16981132075471694</v>
      </c>
      <c r="AG261" s="73">
        <f t="shared" si="259"/>
        <v>9.0909090909090828E-2</v>
      </c>
      <c r="AH261" s="73">
        <f t="shared" si="259"/>
        <v>0.26829268292682928</v>
      </c>
      <c r="AI261" s="73">
        <f t="shared" si="259"/>
        <v>0.25531914893617014</v>
      </c>
      <c r="AJ261" s="73">
        <f t="shared" si="259"/>
        <v>0</v>
      </c>
      <c r="AK261" s="24">
        <v>0.14516129032258074</v>
      </c>
      <c r="AL261" s="73">
        <v>-2.083333333333337E-2</v>
      </c>
      <c r="AM261" s="73">
        <v>-7.6923076923076872E-2</v>
      </c>
      <c r="AN261" s="73">
        <v>-0.16949152542372881</v>
      </c>
      <c r="AO261" s="73">
        <v>-0.18518518518518523</v>
      </c>
      <c r="AP261" s="24">
        <v>-0.11737089201877937</v>
      </c>
      <c r="AQ261" s="73">
        <v>-8.5106382978723416E-2</v>
      </c>
      <c r="AR261" s="73">
        <v>-8.333333333333337E-2</v>
      </c>
      <c r="AS261" s="73">
        <v>0.12244897959183665</v>
      </c>
      <c r="AT261" s="73">
        <v>0.20454545454545459</v>
      </c>
      <c r="AU261" s="24">
        <v>3.7234042553191404E-2</v>
      </c>
      <c r="AV261" s="73">
        <v>-2.3255813953488413E-2</v>
      </c>
      <c r="AW261" s="73">
        <v>0</v>
      </c>
      <c r="AX261" s="73">
        <v>-1.8181818181818188E-2</v>
      </c>
      <c r="AY261" s="73">
        <v>-9.4339622641509413E-2</v>
      </c>
      <c r="AZ261" s="24">
        <v>-3.5897435897435881E-2</v>
      </c>
      <c r="BA261" s="73">
        <v>-4.7619047619047672E-2</v>
      </c>
    </row>
    <row r="262" spans="1:53" ht="12.75" customHeight="1">
      <c r="A262" s="69" t="s">
        <v>93</v>
      </c>
      <c r="B262" s="123" t="s">
        <v>45</v>
      </c>
      <c r="C262" s="80" t="s">
        <v>53</v>
      </c>
      <c r="D262" s="80" t="s">
        <v>53</v>
      </c>
      <c r="E262" s="80" t="s">
        <v>53</v>
      </c>
      <c r="F262" s="80" t="s">
        <v>53</v>
      </c>
      <c r="G262" s="123" t="s">
        <v>45</v>
      </c>
      <c r="H262" s="80" t="s">
        <v>53</v>
      </c>
      <c r="I262" s="80" t="s">
        <v>53</v>
      </c>
      <c r="J262" s="80" t="s">
        <v>53</v>
      </c>
      <c r="K262" s="80" t="s">
        <v>53</v>
      </c>
      <c r="L262" s="37">
        <v>80</v>
      </c>
      <c r="M262" s="80" t="s">
        <v>53</v>
      </c>
      <c r="N262" s="80" t="s">
        <v>53</v>
      </c>
      <c r="O262" s="80" t="s">
        <v>53</v>
      </c>
      <c r="P262" s="80" t="s">
        <v>53</v>
      </c>
      <c r="Q262" s="37">
        <v>88</v>
      </c>
      <c r="R262" s="70">
        <v>22</v>
      </c>
      <c r="S262" s="70">
        <v>17</v>
      </c>
      <c r="T262" s="70">
        <v>23</v>
      </c>
      <c r="U262" s="70">
        <f>V262-R262-S262-T262</f>
        <v>27</v>
      </c>
      <c r="V262" s="37">
        <v>89</v>
      </c>
      <c r="W262" s="70">
        <v>24</v>
      </c>
      <c r="X262" s="70">
        <v>27</v>
      </c>
      <c r="Y262" s="70">
        <v>28</v>
      </c>
      <c r="Z262" s="70">
        <f>AA262-W262-X262-Y262</f>
        <v>32</v>
      </c>
      <c r="AA262" s="37">
        <v>111</v>
      </c>
      <c r="AB262" s="70">
        <v>27</v>
      </c>
      <c r="AC262" s="70">
        <v>23</v>
      </c>
      <c r="AD262" s="70">
        <v>22</v>
      </c>
      <c r="AE262" s="70">
        <f>AF262-AB262-AC262-AD262</f>
        <v>18</v>
      </c>
      <c r="AF262" s="37">
        <v>90</v>
      </c>
      <c r="AG262" s="70">
        <v>12</v>
      </c>
      <c r="AH262" s="70">
        <v>10</v>
      </c>
      <c r="AI262" s="70">
        <v>11</v>
      </c>
      <c r="AJ262" s="70">
        <f>AK262-AG262-AH262-AI262</f>
        <v>16</v>
      </c>
      <c r="AK262" s="37">
        <v>49</v>
      </c>
      <c r="AL262" s="70">
        <v>11</v>
      </c>
      <c r="AM262" s="70">
        <v>11</v>
      </c>
      <c r="AN262" s="70">
        <v>10</v>
      </c>
      <c r="AO262" s="70">
        <v>16</v>
      </c>
      <c r="AP262" s="37">
        <v>48</v>
      </c>
      <c r="AQ262" s="70">
        <v>12</v>
      </c>
      <c r="AR262" s="70">
        <v>12</v>
      </c>
      <c r="AS262" s="70">
        <v>11</v>
      </c>
      <c r="AT262" s="70">
        <v>12</v>
      </c>
      <c r="AU262" s="37">
        <v>47</v>
      </c>
      <c r="AV262" s="70">
        <v>10</v>
      </c>
      <c r="AW262" s="70">
        <v>12</v>
      </c>
      <c r="AX262" s="70">
        <v>12</v>
      </c>
      <c r="AY262" s="70">
        <v>10</v>
      </c>
      <c r="AZ262" s="37">
        <v>44</v>
      </c>
      <c r="BA262" s="70">
        <v>11</v>
      </c>
    </row>
    <row r="263" spans="1:53" ht="12.75" customHeight="1">
      <c r="A263" s="71" t="s">
        <v>7</v>
      </c>
      <c r="B263" s="24"/>
      <c r="C263" s="72"/>
      <c r="D263" s="72"/>
      <c r="E263" s="72"/>
      <c r="F263" s="72"/>
      <c r="G263" s="24"/>
      <c r="H263" s="72"/>
      <c r="I263" s="72"/>
      <c r="J263" s="72"/>
      <c r="K263" s="72"/>
      <c r="L263" s="24"/>
      <c r="M263" s="72"/>
      <c r="N263" s="72"/>
      <c r="O263" s="72"/>
      <c r="P263" s="72"/>
      <c r="Q263" s="24"/>
      <c r="R263" s="72"/>
      <c r="S263" s="72">
        <f>S262/R262-1</f>
        <v>-0.22727272727272729</v>
      </c>
      <c r="T263" s="72">
        <f>T262/S262-1</f>
        <v>0.35294117647058831</v>
      </c>
      <c r="U263" s="72">
        <f>U262/T262-1</f>
        <v>0.17391304347826098</v>
      </c>
      <c r="V263" s="24"/>
      <c r="W263" s="72">
        <f>W262/U262-1</f>
        <v>-0.11111111111111116</v>
      </c>
      <c r="X263" s="72">
        <f>X262/W262-1</f>
        <v>0.125</v>
      </c>
      <c r="Y263" s="72">
        <f>Y262/X262-1</f>
        <v>3.7037037037036979E-2</v>
      </c>
      <c r="Z263" s="72">
        <f>Z262/Y262-1</f>
        <v>0.14285714285714279</v>
      </c>
      <c r="AA263" s="24"/>
      <c r="AB263" s="72">
        <f>AB262/Z262-1</f>
        <v>-0.15625</v>
      </c>
      <c r="AC263" s="72">
        <f>AC262/AB262-1</f>
        <v>-0.14814814814814814</v>
      </c>
      <c r="AD263" s="72">
        <f>AD262/AC262-1</f>
        <v>-4.3478260869565188E-2</v>
      </c>
      <c r="AE263" s="72">
        <f>AE262/AD262-1</f>
        <v>-0.18181818181818177</v>
      </c>
      <c r="AF263" s="24"/>
      <c r="AG263" s="72">
        <f>AG262/AE262-1</f>
        <v>-0.33333333333333337</v>
      </c>
      <c r="AH263" s="72">
        <f>AH262/AG262-1</f>
        <v>-0.16666666666666663</v>
      </c>
      <c r="AI263" s="72">
        <f>AI262/AH262-1</f>
        <v>0.10000000000000009</v>
      </c>
      <c r="AJ263" s="72">
        <f>AJ262/AI262-1</f>
        <v>0.45454545454545459</v>
      </c>
      <c r="AK263" s="24"/>
      <c r="AL263" s="72">
        <v>-0.3125</v>
      </c>
      <c r="AM263" s="72">
        <v>0</v>
      </c>
      <c r="AN263" s="72">
        <v>-9.0909090909090939E-2</v>
      </c>
      <c r="AO263" s="72">
        <v>0.60000000000000009</v>
      </c>
      <c r="AP263" s="24"/>
      <c r="AQ263" s="72">
        <v>-0.25</v>
      </c>
      <c r="AR263" s="72">
        <v>0</v>
      </c>
      <c r="AS263" s="72">
        <v>-8.333333333333337E-2</v>
      </c>
      <c r="AT263" s="72">
        <v>9.0909090909090828E-2</v>
      </c>
      <c r="AU263" s="24"/>
      <c r="AV263" s="72">
        <v>-0.16666666666666663</v>
      </c>
      <c r="AW263" s="72">
        <v>0.19999999999999996</v>
      </c>
      <c r="AX263" s="72">
        <v>0</v>
      </c>
      <c r="AY263" s="72">
        <v>-0.16666666666666663</v>
      </c>
      <c r="AZ263" s="24"/>
      <c r="BA263" s="72">
        <v>0.10000000000000009</v>
      </c>
    </row>
    <row r="264" spans="1:53" ht="12.75" customHeight="1">
      <c r="A264" s="71" t="s">
        <v>8</v>
      </c>
      <c r="B264" s="24"/>
      <c r="C264" s="73"/>
      <c r="D264" s="73"/>
      <c r="E264" s="73"/>
      <c r="F264" s="73"/>
      <c r="G264" s="24"/>
      <c r="H264" s="73"/>
      <c r="I264" s="73"/>
      <c r="J264" s="73"/>
      <c r="K264" s="73"/>
      <c r="L264" s="24"/>
      <c r="M264" s="73"/>
      <c r="N264" s="73"/>
      <c r="O264" s="73"/>
      <c r="P264" s="73"/>
      <c r="Q264" s="24">
        <f>Q262/L262-1</f>
        <v>0.10000000000000009</v>
      </c>
      <c r="R264" s="73"/>
      <c r="S264" s="73"/>
      <c r="T264" s="73"/>
      <c r="U264" s="73"/>
      <c r="V264" s="24">
        <f t="shared" ref="V264:AD264" si="260">V262/Q262-1</f>
        <v>1.1363636363636465E-2</v>
      </c>
      <c r="W264" s="73">
        <f t="shared" si="260"/>
        <v>9.0909090909090828E-2</v>
      </c>
      <c r="X264" s="73">
        <f t="shared" si="260"/>
        <v>0.58823529411764697</v>
      </c>
      <c r="Y264" s="73">
        <f t="shared" si="260"/>
        <v>0.21739130434782616</v>
      </c>
      <c r="Z264" s="73">
        <f t="shared" si="260"/>
        <v>0.18518518518518512</v>
      </c>
      <c r="AA264" s="24">
        <f t="shared" si="260"/>
        <v>0.24719101123595499</v>
      </c>
      <c r="AB264" s="73">
        <f t="shared" si="260"/>
        <v>0.125</v>
      </c>
      <c r="AC264" s="73">
        <f t="shared" si="260"/>
        <v>-0.14814814814814814</v>
      </c>
      <c r="AD264" s="73">
        <f t="shared" si="260"/>
        <v>-0.2142857142857143</v>
      </c>
      <c r="AE264" s="73">
        <f t="shared" ref="AE264:AN264" si="261">AE262/Z262-1</f>
        <v>-0.4375</v>
      </c>
      <c r="AF264" s="24">
        <f t="shared" si="261"/>
        <v>-0.18918918918918914</v>
      </c>
      <c r="AG264" s="73">
        <f t="shared" si="261"/>
        <v>-0.55555555555555558</v>
      </c>
      <c r="AH264" s="73">
        <f t="shared" si="261"/>
        <v>-0.56521739130434789</v>
      </c>
      <c r="AI264" s="73">
        <f t="shared" si="261"/>
        <v>-0.5</v>
      </c>
      <c r="AJ264" s="73">
        <f t="shared" si="261"/>
        <v>-0.11111111111111116</v>
      </c>
      <c r="AK264" s="24">
        <v>-0.4555555555555556</v>
      </c>
      <c r="AL264" s="73">
        <v>-8.333333333333337E-2</v>
      </c>
      <c r="AM264" s="73">
        <v>0.10000000000000009</v>
      </c>
      <c r="AN264" s="73">
        <v>-9.0909090909090939E-2</v>
      </c>
      <c r="AO264" s="73">
        <v>0</v>
      </c>
      <c r="AP264" s="24">
        <v>-2.0408163265306145E-2</v>
      </c>
      <c r="AQ264" s="73">
        <v>9.0909090909090828E-2</v>
      </c>
      <c r="AR264" s="73">
        <v>9.0909090909090828E-2</v>
      </c>
      <c r="AS264" s="73">
        <v>0.10000000000000009</v>
      </c>
      <c r="AT264" s="73">
        <v>-0.25</v>
      </c>
      <c r="AU264" s="24">
        <v>-2.083333333333337E-2</v>
      </c>
      <c r="AV264" s="73">
        <v>-0.16666666666666663</v>
      </c>
      <c r="AW264" s="73">
        <v>0</v>
      </c>
      <c r="AX264" s="73">
        <v>9.0909090909090828E-2</v>
      </c>
      <c r="AY264" s="73">
        <v>-0.16666666666666663</v>
      </c>
      <c r="AZ264" s="24">
        <v>-6.3829787234042534E-2</v>
      </c>
      <c r="BA264" s="73">
        <v>0.10000000000000009</v>
      </c>
    </row>
    <row r="265" spans="1:53" ht="12.75" customHeight="1">
      <c r="A265" s="69" t="s">
        <v>95</v>
      </c>
      <c r="B265" s="123" t="s">
        <v>45</v>
      </c>
      <c r="C265" s="80" t="s">
        <v>53</v>
      </c>
      <c r="D265" s="80" t="s">
        <v>53</v>
      </c>
      <c r="E265" s="80" t="s">
        <v>53</v>
      </c>
      <c r="F265" s="80" t="s">
        <v>53</v>
      </c>
      <c r="G265" s="123" t="s">
        <v>45</v>
      </c>
      <c r="H265" s="80" t="s">
        <v>53</v>
      </c>
      <c r="I265" s="80" t="s">
        <v>53</v>
      </c>
      <c r="J265" s="80" t="s">
        <v>53</v>
      </c>
      <c r="K265" s="80" t="s">
        <v>53</v>
      </c>
      <c r="L265" s="37">
        <v>96</v>
      </c>
      <c r="M265" s="80" t="s">
        <v>53</v>
      </c>
      <c r="N265" s="80" t="s">
        <v>53</v>
      </c>
      <c r="O265" s="80" t="s">
        <v>53</v>
      </c>
      <c r="P265" s="80" t="s">
        <v>53</v>
      </c>
      <c r="Q265" s="37">
        <v>76</v>
      </c>
      <c r="R265" s="70">
        <v>20</v>
      </c>
      <c r="S265" s="70">
        <v>18</v>
      </c>
      <c r="T265" s="70">
        <v>17</v>
      </c>
      <c r="U265" s="70">
        <f>V265-R265-S265-T265</f>
        <v>21</v>
      </c>
      <c r="V265" s="37">
        <v>76</v>
      </c>
      <c r="W265" s="70">
        <v>20</v>
      </c>
      <c r="X265" s="70">
        <v>19</v>
      </c>
      <c r="Y265" s="70">
        <v>15</v>
      </c>
      <c r="Z265" s="70">
        <f>AA265-W265-X265-Y265</f>
        <v>19</v>
      </c>
      <c r="AA265" s="37">
        <v>73</v>
      </c>
      <c r="AB265" s="70">
        <v>16</v>
      </c>
      <c r="AC265" s="70">
        <v>16</v>
      </c>
      <c r="AD265" s="70">
        <v>15</v>
      </c>
      <c r="AE265" s="147">
        <f>AF265-AB265-AC265-AD265</f>
        <v>17</v>
      </c>
      <c r="AF265" s="37">
        <v>64</v>
      </c>
      <c r="AG265" s="70">
        <v>16</v>
      </c>
      <c r="AH265" s="70">
        <v>15</v>
      </c>
      <c r="AI265" s="70">
        <v>14</v>
      </c>
      <c r="AJ265" s="147">
        <f>AK265-AG265-AH265-AI265</f>
        <v>16</v>
      </c>
      <c r="AK265" s="37">
        <v>61</v>
      </c>
      <c r="AL265" s="70">
        <v>16</v>
      </c>
      <c r="AM265" s="70">
        <v>14</v>
      </c>
      <c r="AN265" s="70">
        <v>17</v>
      </c>
      <c r="AO265" s="147">
        <v>13</v>
      </c>
      <c r="AP265" s="37">
        <v>60</v>
      </c>
      <c r="AQ265" s="70">
        <v>17</v>
      </c>
      <c r="AR265" s="70">
        <v>17</v>
      </c>
      <c r="AS265" s="70">
        <v>16</v>
      </c>
      <c r="AT265" s="147">
        <v>22</v>
      </c>
      <c r="AU265" s="37">
        <v>72</v>
      </c>
      <c r="AV265" s="70">
        <v>17</v>
      </c>
      <c r="AW265" s="70">
        <v>19</v>
      </c>
      <c r="AX265" s="70">
        <v>19</v>
      </c>
      <c r="AY265" s="147">
        <v>18</v>
      </c>
      <c r="AZ265" s="37">
        <v>73</v>
      </c>
      <c r="BA265" s="70">
        <v>20</v>
      </c>
    </row>
    <row r="266" spans="1:53" ht="12.75" customHeight="1">
      <c r="A266" s="71" t="s">
        <v>7</v>
      </c>
      <c r="B266" s="24"/>
      <c r="C266" s="72"/>
      <c r="D266" s="72"/>
      <c r="E266" s="72"/>
      <c r="F266" s="72"/>
      <c r="G266" s="24"/>
      <c r="H266" s="72"/>
      <c r="I266" s="72"/>
      <c r="J266" s="72"/>
      <c r="K266" s="72"/>
      <c r="L266" s="24"/>
      <c r="M266" s="72"/>
      <c r="N266" s="72"/>
      <c r="O266" s="72"/>
      <c r="P266" s="72"/>
      <c r="Q266" s="24"/>
      <c r="R266" s="72"/>
      <c r="S266" s="72">
        <f>S265/R265-1</f>
        <v>-9.9999999999999978E-2</v>
      </c>
      <c r="T266" s="72">
        <f>T265/S265-1</f>
        <v>-5.555555555555558E-2</v>
      </c>
      <c r="U266" s="72">
        <f>U265/T265-1</f>
        <v>0.23529411764705888</v>
      </c>
      <c r="V266" s="24"/>
      <c r="W266" s="72">
        <f>W265/U265-1</f>
        <v>-4.7619047619047672E-2</v>
      </c>
      <c r="X266" s="72">
        <f>X265/W265-1</f>
        <v>-5.0000000000000044E-2</v>
      </c>
      <c r="Y266" s="72">
        <f>Y265/X265-1</f>
        <v>-0.21052631578947367</v>
      </c>
      <c r="Z266" s="72">
        <f>Z265/Y265-1</f>
        <v>0.26666666666666661</v>
      </c>
      <c r="AA266" s="24"/>
      <c r="AB266" s="72">
        <f>AB265/Z265-1</f>
        <v>-0.15789473684210531</v>
      </c>
      <c r="AC266" s="72">
        <f>AC265/AB265-1</f>
        <v>0</v>
      </c>
      <c r="AD266" s="72">
        <f>AD265/AC265-1</f>
        <v>-6.25E-2</v>
      </c>
      <c r="AE266" s="72">
        <f>AE265/AD265-1</f>
        <v>0.1333333333333333</v>
      </c>
      <c r="AF266" s="24"/>
      <c r="AG266" s="72">
        <f>AG265/AE265-1</f>
        <v>-5.8823529411764719E-2</v>
      </c>
      <c r="AH266" s="72">
        <f>AH265/AG265-1</f>
        <v>-6.25E-2</v>
      </c>
      <c r="AI266" s="72">
        <f>AI265/AH265-1</f>
        <v>-6.6666666666666652E-2</v>
      </c>
      <c r="AJ266" s="72">
        <f>AJ265/AI265-1</f>
        <v>0.14285714285714279</v>
      </c>
      <c r="AK266" s="24"/>
      <c r="AL266" s="72">
        <v>0</v>
      </c>
      <c r="AM266" s="72">
        <v>-0.125</v>
      </c>
      <c r="AN266" s="72">
        <v>0.21428571428571419</v>
      </c>
      <c r="AO266" s="72">
        <v>-0.23529411764705888</v>
      </c>
      <c r="AP266" s="24"/>
      <c r="AQ266" s="72">
        <v>0.30769230769230771</v>
      </c>
      <c r="AR266" s="72">
        <v>0</v>
      </c>
      <c r="AS266" s="72">
        <v>-5.8823529411764719E-2</v>
      </c>
      <c r="AT266" s="72">
        <v>0.375</v>
      </c>
      <c r="AU266" s="24"/>
      <c r="AV266" s="72">
        <v>-0.22727272727272729</v>
      </c>
      <c r="AW266" s="72">
        <v>0.11764705882352944</v>
      </c>
      <c r="AX266" s="72">
        <v>0</v>
      </c>
      <c r="AY266" s="72">
        <v>-5.2631578947368474E-2</v>
      </c>
      <c r="AZ266" s="24"/>
      <c r="BA266" s="72">
        <v>0.11111111111111116</v>
      </c>
    </row>
    <row r="267" spans="1:53" ht="12.75" customHeight="1">
      <c r="A267" s="71" t="s">
        <v>8</v>
      </c>
      <c r="B267" s="24"/>
      <c r="C267" s="73"/>
      <c r="D267" s="73"/>
      <c r="E267" s="73"/>
      <c r="F267" s="73"/>
      <c r="G267" s="24"/>
      <c r="H267" s="73"/>
      <c r="I267" s="73"/>
      <c r="J267" s="73"/>
      <c r="K267" s="73"/>
      <c r="L267" s="24"/>
      <c r="M267" s="73"/>
      <c r="N267" s="73"/>
      <c r="O267" s="73"/>
      <c r="P267" s="73"/>
      <c r="Q267" s="24">
        <f>Q265/L265-1</f>
        <v>-0.20833333333333337</v>
      </c>
      <c r="R267" s="73"/>
      <c r="S267" s="73"/>
      <c r="T267" s="73"/>
      <c r="U267" s="73"/>
      <c r="V267" s="24">
        <f t="shared" ref="V267:AD267" si="262">V265/Q265-1</f>
        <v>0</v>
      </c>
      <c r="W267" s="73">
        <f t="shared" si="262"/>
        <v>0</v>
      </c>
      <c r="X267" s="73">
        <f t="shared" si="262"/>
        <v>5.555555555555558E-2</v>
      </c>
      <c r="Y267" s="73">
        <f t="shared" si="262"/>
        <v>-0.11764705882352944</v>
      </c>
      <c r="Z267" s="73">
        <f t="shared" si="262"/>
        <v>-9.5238095238095233E-2</v>
      </c>
      <c r="AA267" s="24">
        <f t="shared" si="262"/>
        <v>-3.9473684210526327E-2</v>
      </c>
      <c r="AB267" s="73">
        <f t="shared" si="262"/>
        <v>-0.19999999999999996</v>
      </c>
      <c r="AC267" s="73">
        <f t="shared" si="262"/>
        <v>-0.15789473684210531</v>
      </c>
      <c r="AD267" s="73">
        <f t="shared" si="262"/>
        <v>0</v>
      </c>
      <c r="AE267" s="73">
        <f t="shared" ref="AE267:AN267" si="263">AE265/Z265-1</f>
        <v>-0.10526315789473684</v>
      </c>
      <c r="AF267" s="24">
        <f t="shared" si="263"/>
        <v>-0.12328767123287676</v>
      </c>
      <c r="AG267" s="73">
        <f t="shared" si="263"/>
        <v>0</v>
      </c>
      <c r="AH267" s="73">
        <f t="shared" si="263"/>
        <v>-6.25E-2</v>
      </c>
      <c r="AI267" s="73">
        <f t="shared" si="263"/>
        <v>-6.6666666666666652E-2</v>
      </c>
      <c r="AJ267" s="73">
        <f t="shared" si="263"/>
        <v>-5.8823529411764719E-2</v>
      </c>
      <c r="AK267" s="24">
        <v>-4.6875E-2</v>
      </c>
      <c r="AL267" s="73">
        <v>0</v>
      </c>
      <c r="AM267" s="73">
        <v>-6.6666666666666652E-2</v>
      </c>
      <c r="AN267" s="73">
        <v>0.21428571428571419</v>
      </c>
      <c r="AO267" s="73">
        <v>-0.1875</v>
      </c>
      <c r="AP267" s="24">
        <v>-1.6393442622950838E-2</v>
      </c>
      <c r="AQ267" s="73">
        <v>6.25E-2</v>
      </c>
      <c r="AR267" s="73">
        <v>0.21428571428571419</v>
      </c>
      <c r="AS267" s="73">
        <v>-5.8823529411764719E-2</v>
      </c>
      <c r="AT267" s="73">
        <v>0.69230769230769229</v>
      </c>
      <c r="AU267" s="24">
        <v>0.19999999999999996</v>
      </c>
      <c r="AV267" s="73">
        <v>0</v>
      </c>
      <c r="AW267" s="73">
        <v>0.11764705882352944</v>
      </c>
      <c r="AX267" s="73">
        <v>0.1875</v>
      </c>
      <c r="AY267" s="73">
        <v>-0.18181818181818177</v>
      </c>
      <c r="AZ267" s="24">
        <v>1.388888888888884E-2</v>
      </c>
      <c r="BA267" s="73">
        <v>0.17647058823529416</v>
      </c>
    </row>
    <row r="268" spans="1:53" ht="12.75" customHeight="1">
      <c r="A268" s="69" t="s">
        <v>96</v>
      </c>
      <c r="B268" s="123" t="s">
        <v>45</v>
      </c>
      <c r="C268" s="80" t="s">
        <v>53</v>
      </c>
      <c r="D268" s="80" t="s">
        <v>53</v>
      </c>
      <c r="E268" s="80" t="s">
        <v>53</v>
      </c>
      <c r="F268" s="80" t="s">
        <v>53</v>
      </c>
      <c r="G268" s="123" t="s">
        <v>45</v>
      </c>
      <c r="H268" s="80" t="s">
        <v>53</v>
      </c>
      <c r="I268" s="80" t="s">
        <v>53</v>
      </c>
      <c r="J268" s="80" t="s">
        <v>53</v>
      </c>
      <c r="K268" s="80" t="s">
        <v>53</v>
      </c>
      <c r="L268" s="37">
        <v>96</v>
      </c>
      <c r="M268" s="80" t="s">
        <v>53</v>
      </c>
      <c r="N268" s="80" t="s">
        <v>53</v>
      </c>
      <c r="O268" s="80" t="s">
        <v>53</v>
      </c>
      <c r="P268" s="80" t="s">
        <v>53</v>
      </c>
      <c r="Q268" s="37">
        <v>101</v>
      </c>
      <c r="R268" s="70">
        <v>21</v>
      </c>
      <c r="S268" s="70">
        <v>20</v>
      </c>
      <c r="T268" s="70">
        <v>22</v>
      </c>
      <c r="U268" s="70">
        <f>V268-R268-S268-T268</f>
        <v>15</v>
      </c>
      <c r="V268" s="37">
        <v>78</v>
      </c>
      <c r="W268" s="70">
        <v>19</v>
      </c>
      <c r="X268" s="70">
        <v>18</v>
      </c>
      <c r="Y268" s="70">
        <v>25</v>
      </c>
      <c r="Z268" s="70">
        <f>AA268-W268-X268-Y268</f>
        <v>21</v>
      </c>
      <c r="AA268" s="37">
        <v>83</v>
      </c>
      <c r="AB268" s="70">
        <v>20</v>
      </c>
      <c r="AC268" s="70">
        <v>19</v>
      </c>
      <c r="AD268" s="70">
        <v>18</v>
      </c>
      <c r="AE268" s="70">
        <f>AF268-AB268-AC268-AD268</f>
        <v>19</v>
      </c>
      <c r="AF268" s="37">
        <v>76</v>
      </c>
      <c r="AG268" s="70">
        <v>17</v>
      </c>
      <c r="AH268" s="70">
        <v>19</v>
      </c>
      <c r="AI268" s="70">
        <v>20</v>
      </c>
      <c r="AJ268" s="70">
        <f>AK268-AG268-AH268-AI268</f>
        <v>20</v>
      </c>
      <c r="AK268" s="37">
        <v>76</v>
      </c>
      <c r="AL268" s="70">
        <v>17</v>
      </c>
      <c r="AM268" s="70">
        <v>19</v>
      </c>
      <c r="AN268" s="70">
        <v>21</v>
      </c>
      <c r="AO268" s="70">
        <v>21</v>
      </c>
      <c r="AP268" s="37">
        <v>78</v>
      </c>
      <c r="AQ268" s="70">
        <v>17</v>
      </c>
      <c r="AR268" s="70">
        <v>18</v>
      </c>
      <c r="AS268" s="70">
        <v>18</v>
      </c>
      <c r="AT268" s="70">
        <v>19</v>
      </c>
      <c r="AU268" s="37">
        <v>72</v>
      </c>
      <c r="AV268" s="70">
        <v>18</v>
      </c>
      <c r="AW268" s="70">
        <v>17</v>
      </c>
      <c r="AX268" s="70">
        <v>18</v>
      </c>
      <c r="AY268" s="70">
        <v>16</v>
      </c>
      <c r="AZ268" s="37">
        <v>69</v>
      </c>
      <c r="BA268" s="70">
        <v>7</v>
      </c>
    </row>
    <row r="269" spans="1:53" ht="12.75" customHeight="1">
      <c r="A269" s="71" t="s">
        <v>7</v>
      </c>
      <c r="B269" s="24"/>
      <c r="C269" s="72"/>
      <c r="D269" s="72"/>
      <c r="E269" s="72"/>
      <c r="F269" s="72"/>
      <c r="G269" s="24"/>
      <c r="H269" s="72"/>
      <c r="I269" s="72"/>
      <c r="J269" s="72"/>
      <c r="K269" s="72"/>
      <c r="L269" s="24"/>
      <c r="M269" s="72"/>
      <c r="N269" s="72"/>
      <c r="O269" s="72"/>
      <c r="P269" s="72"/>
      <c r="Q269" s="24"/>
      <c r="R269" s="72"/>
      <c r="S269" s="72">
        <f>S268/R268-1</f>
        <v>-4.7619047619047672E-2</v>
      </c>
      <c r="T269" s="72">
        <f>T268/S268-1</f>
        <v>0.10000000000000009</v>
      </c>
      <c r="U269" s="72">
        <f>U268/T268-1</f>
        <v>-0.31818181818181823</v>
      </c>
      <c r="V269" s="24"/>
      <c r="W269" s="72">
        <f>W268/U268-1</f>
        <v>0.26666666666666661</v>
      </c>
      <c r="X269" s="72">
        <f>X268/W268-1</f>
        <v>-5.2631578947368474E-2</v>
      </c>
      <c r="Y269" s="72">
        <f>Y268/X268-1</f>
        <v>0.38888888888888884</v>
      </c>
      <c r="Z269" s="72">
        <f>Z268/Y268-1</f>
        <v>-0.16000000000000003</v>
      </c>
      <c r="AA269" s="24"/>
      <c r="AB269" s="72">
        <f>AB268/Z268-1</f>
        <v>-4.7619047619047672E-2</v>
      </c>
      <c r="AC269" s="72">
        <f>AC268/AB268-1</f>
        <v>-5.0000000000000044E-2</v>
      </c>
      <c r="AD269" s="72">
        <f>AD268/AC268-1</f>
        <v>-5.2631578947368474E-2</v>
      </c>
      <c r="AE269" s="72">
        <f>AE268/AD268-1</f>
        <v>5.555555555555558E-2</v>
      </c>
      <c r="AF269" s="24"/>
      <c r="AG269" s="72">
        <f>AG268/AE268-1</f>
        <v>-0.10526315789473684</v>
      </c>
      <c r="AH269" s="72">
        <f>AH268/AG268-1</f>
        <v>0.11764705882352944</v>
      </c>
      <c r="AI269" s="72">
        <f>AI268/AH268-1</f>
        <v>5.2631578947368363E-2</v>
      </c>
      <c r="AJ269" s="72">
        <f>AJ268/AI268-1</f>
        <v>0</v>
      </c>
      <c r="AK269" s="24"/>
      <c r="AL269" s="72">
        <v>-0.15000000000000002</v>
      </c>
      <c r="AM269" s="72">
        <v>0.11764705882352944</v>
      </c>
      <c r="AN269" s="72">
        <v>0.10526315789473695</v>
      </c>
      <c r="AO269" s="72">
        <v>0</v>
      </c>
      <c r="AP269" s="24"/>
      <c r="AQ269" s="72">
        <v>-0.19047619047619047</v>
      </c>
      <c r="AR269" s="72">
        <v>5.8823529411764719E-2</v>
      </c>
      <c r="AS269" s="72">
        <v>0</v>
      </c>
      <c r="AT269" s="72">
        <v>5.555555555555558E-2</v>
      </c>
      <c r="AU269" s="24"/>
      <c r="AV269" s="72">
        <v>-5.2631578947368474E-2</v>
      </c>
      <c r="AW269" s="72">
        <v>-5.555555555555558E-2</v>
      </c>
      <c r="AX269" s="72">
        <v>5.8823529411764719E-2</v>
      </c>
      <c r="AY269" s="72">
        <v>-0.11111111111111116</v>
      </c>
      <c r="AZ269" s="24"/>
      <c r="BA269" s="72">
        <v>-0.5625</v>
      </c>
    </row>
    <row r="270" spans="1:53" ht="12.75" customHeight="1">
      <c r="A270" s="71" t="s">
        <v>8</v>
      </c>
      <c r="B270" s="24"/>
      <c r="C270" s="73"/>
      <c r="D270" s="73"/>
      <c r="E270" s="73"/>
      <c r="F270" s="73"/>
      <c r="G270" s="24"/>
      <c r="H270" s="73"/>
      <c r="I270" s="73"/>
      <c r="J270" s="73"/>
      <c r="K270" s="73"/>
      <c r="L270" s="24"/>
      <c r="M270" s="73"/>
      <c r="N270" s="73"/>
      <c r="O270" s="73"/>
      <c r="P270" s="73"/>
      <c r="Q270" s="24">
        <f>Q268/L268-1</f>
        <v>5.2083333333333259E-2</v>
      </c>
      <c r="R270" s="73"/>
      <c r="S270" s="73"/>
      <c r="T270" s="73"/>
      <c r="U270" s="73"/>
      <c r="V270" s="24">
        <f t="shared" ref="V270:BA270" si="264">V268/Q268-1</f>
        <v>-0.2277227722772277</v>
      </c>
      <c r="W270" s="73">
        <f t="shared" si="264"/>
        <v>-9.5238095238095233E-2</v>
      </c>
      <c r="X270" s="73">
        <f t="shared" si="264"/>
        <v>-9.9999999999999978E-2</v>
      </c>
      <c r="Y270" s="73">
        <f t="shared" si="264"/>
        <v>0.13636363636363646</v>
      </c>
      <c r="Z270" s="73">
        <f t="shared" si="264"/>
        <v>0.39999999999999991</v>
      </c>
      <c r="AA270" s="24">
        <f t="shared" si="264"/>
        <v>6.4102564102564097E-2</v>
      </c>
      <c r="AB270" s="73">
        <f t="shared" si="264"/>
        <v>5.2631578947368363E-2</v>
      </c>
      <c r="AC270" s="73">
        <f t="shared" si="264"/>
        <v>5.555555555555558E-2</v>
      </c>
      <c r="AD270" s="73">
        <f t="shared" si="264"/>
        <v>-0.28000000000000003</v>
      </c>
      <c r="AE270" s="73">
        <f t="shared" si="264"/>
        <v>-9.5238095238095233E-2</v>
      </c>
      <c r="AF270" s="24">
        <f t="shared" si="264"/>
        <v>-8.4337349397590411E-2</v>
      </c>
      <c r="AG270" s="73">
        <f t="shared" si="264"/>
        <v>-0.15000000000000002</v>
      </c>
      <c r="AH270" s="73">
        <f t="shared" si="264"/>
        <v>0</v>
      </c>
      <c r="AI270" s="73">
        <f t="shared" si="264"/>
        <v>0.11111111111111116</v>
      </c>
      <c r="AJ270" s="73">
        <f t="shared" si="264"/>
        <v>5.2631578947368363E-2</v>
      </c>
      <c r="AK270" s="24">
        <v>0</v>
      </c>
      <c r="AL270" s="73">
        <v>0</v>
      </c>
      <c r="AM270" s="73">
        <v>0</v>
      </c>
      <c r="AN270" s="73">
        <v>5.0000000000000044E-2</v>
      </c>
      <c r="AO270" s="73">
        <v>5.0000000000000044E-2</v>
      </c>
      <c r="AP270" s="24">
        <v>2.6315789473684292E-2</v>
      </c>
      <c r="AQ270" s="73">
        <v>0</v>
      </c>
      <c r="AR270" s="73">
        <v>-5.2631578947368474E-2</v>
      </c>
      <c r="AS270" s="73">
        <v>-0.1428571428571429</v>
      </c>
      <c r="AT270" s="73">
        <v>-9.5238095238095233E-2</v>
      </c>
      <c r="AU270" s="24">
        <v>-7.6923076923076872E-2</v>
      </c>
      <c r="AV270" s="73">
        <v>5.8823529411764719E-2</v>
      </c>
      <c r="AW270" s="73">
        <v>-5.555555555555558E-2</v>
      </c>
      <c r="AX270" s="73">
        <v>0</v>
      </c>
      <c r="AY270" s="73">
        <v>-0.15789473684210531</v>
      </c>
      <c r="AZ270" s="24">
        <v>-4.166666666666663E-2</v>
      </c>
      <c r="BA270" s="73">
        <v>-0.61111111111111116</v>
      </c>
    </row>
    <row r="271" spans="1:53" ht="12.75" hidden="1" customHeight="1">
      <c r="A271" s="69" t="s">
        <v>149</v>
      </c>
      <c r="B271" s="123" t="s">
        <v>45</v>
      </c>
      <c r="C271" s="80" t="s">
        <v>53</v>
      </c>
      <c r="D271" s="80" t="s">
        <v>53</v>
      </c>
      <c r="E271" s="80" t="s">
        <v>53</v>
      </c>
      <c r="F271" s="80" t="s">
        <v>53</v>
      </c>
      <c r="G271" s="123" t="s">
        <v>45</v>
      </c>
      <c r="H271" s="80" t="s">
        <v>53</v>
      </c>
      <c r="I271" s="80" t="s">
        <v>53</v>
      </c>
      <c r="J271" s="80" t="s">
        <v>53</v>
      </c>
      <c r="K271" s="80" t="s">
        <v>53</v>
      </c>
      <c r="L271" s="37">
        <v>51</v>
      </c>
      <c r="M271" s="80" t="s">
        <v>53</v>
      </c>
      <c r="N271" s="80" t="s">
        <v>53</v>
      </c>
      <c r="O271" s="80" t="s">
        <v>53</v>
      </c>
      <c r="P271" s="80" t="s">
        <v>53</v>
      </c>
      <c r="Q271" s="37">
        <v>53</v>
      </c>
      <c r="R271" s="70">
        <v>20</v>
      </c>
      <c r="S271" s="70">
        <v>18</v>
      </c>
      <c r="T271" s="70">
        <v>20</v>
      </c>
      <c r="U271" s="70">
        <f>V271-R271-S271-T271</f>
        <v>18</v>
      </c>
      <c r="V271" s="37">
        <v>76</v>
      </c>
      <c r="W271" s="70">
        <v>28</v>
      </c>
      <c r="X271" s="70">
        <v>26</v>
      </c>
      <c r="Y271" s="70">
        <v>16</v>
      </c>
      <c r="Z271" s="70">
        <f>AA271-W271-X271-Y271</f>
        <v>11</v>
      </c>
      <c r="AA271" s="37">
        <v>81</v>
      </c>
      <c r="AB271" s="70">
        <v>7</v>
      </c>
      <c r="AC271" s="70">
        <v>6</v>
      </c>
      <c r="AD271" s="70">
        <v>6</v>
      </c>
      <c r="AE271" s="70">
        <f>AF271-AB271-AC271-AD271</f>
        <v>7</v>
      </c>
      <c r="AF271" s="37">
        <v>26</v>
      </c>
      <c r="AG271" s="70">
        <v>0</v>
      </c>
      <c r="AH271" s="76">
        <v>0</v>
      </c>
      <c r="AI271" s="76">
        <v>0</v>
      </c>
      <c r="AJ271" s="76">
        <v>0</v>
      </c>
      <c r="AK271" s="63">
        <v>0</v>
      </c>
      <c r="AL271" s="76">
        <v>0</v>
      </c>
      <c r="AM271" s="76">
        <v>0</v>
      </c>
      <c r="AN271" s="76">
        <v>0</v>
      </c>
      <c r="AO271" s="76">
        <v>0</v>
      </c>
      <c r="AP271" s="63">
        <v>0</v>
      </c>
      <c r="AQ271" s="76">
        <v>0</v>
      </c>
      <c r="AR271" s="76">
        <v>0</v>
      </c>
      <c r="AS271" s="76">
        <v>0</v>
      </c>
      <c r="AT271" s="76">
        <v>0</v>
      </c>
      <c r="AU271" s="63">
        <v>0</v>
      </c>
      <c r="AV271" s="76">
        <v>0</v>
      </c>
      <c r="AW271" s="76">
        <v>0</v>
      </c>
      <c r="AX271" s="76">
        <v>0</v>
      </c>
      <c r="AY271" s="76">
        <v>0</v>
      </c>
      <c r="AZ271" s="63">
        <v>0</v>
      </c>
      <c r="BA271" s="76">
        <v>0</v>
      </c>
    </row>
    <row r="272" spans="1:53" ht="12.75" hidden="1" customHeight="1">
      <c r="A272" s="71" t="s">
        <v>7</v>
      </c>
      <c r="B272" s="24"/>
      <c r="C272" s="72"/>
      <c r="D272" s="72"/>
      <c r="E272" s="72"/>
      <c r="F272" s="72"/>
      <c r="G272" s="24"/>
      <c r="H272" s="72"/>
      <c r="I272" s="72"/>
      <c r="J272" s="72"/>
      <c r="K272" s="72"/>
      <c r="L272" s="24"/>
      <c r="M272" s="72"/>
      <c r="N272" s="72"/>
      <c r="O272" s="72"/>
      <c r="P272" s="72"/>
      <c r="Q272" s="24"/>
      <c r="R272" s="72"/>
      <c r="S272" s="72">
        <f>S271/R271-1</f>
        <v>-9.9999999999999978E-2</v>
      </c>
      <c r="T272" s="72">
        <f>T271/S271-1</f>
        <v>0.11111111111111116</v>
      </c>
      <c r="U272" s="72">
        <f>U271/T271-1</f>
        <v>-9.9999999999999978E-2</v>
      </c>
      <c r="V272" s="24"/>
      <c r="W272" s="72">
        <f>W271/U271-1</f>
        <v>0.55555555555555558</v>
      </c>
      <c r="X272" s="72">
        <f>X271/W271-1</f>
        <v>-7.1428571428571397E-2</v>
      </c>
      <c r="Y272" s="72">
        <f>Y271/X271-1</f>
        <v>-0.38461538461538458</v>
      </c>
      <c r="Z272" s="72">
        <f>Z271/Y271-1</f>
        <v>-0.3125</v>
      </c>
      <c r="AA272" s="24"/>
      <c r="AB272" s="72">
        <f>AB271/Z271-1</f>
        <v>-0.36363636363636365</v>
      </c>
      <c r="AC272" s="72">
        <f>AC271/AB271-1</f>
        <v>-0.1428571428571429</v>
      </c>
      <c r="AD272" s="72">
        <f>AD271/AC271-1</f>
        <v>0</v>
      </c>
      <c r="AE272" s="72">
        <f>AE271/AD271-1</f>
        <v>0.16666666666666674</v>
      </c>
      <c r="AF272" s="24"/>
      <c r="AG272" s="85" t="s">
        <v>44</v>
      </c>
      <c r="AH272" s="85" t="s">
        <v>44</v>
      </c>
      <c r="AI272" s="85" t="s">
        <v>44</v>
      </c>
      <c r="AJ272" s="85" t="s">
        <v>44</v>
      </c>
      <c r="AK272" s="24"/>
      <c r="AL272" s="85" t="s">
        <v>44</v>
      </c>
      <c r="AM272" s="85" t="s">
        <v>44</v>
      </c>
      <c r="AN272" s="85" t="s">
        <v>44</v>
      </c>
      <c r="AO272" s="85" t="s">
        <v>44</v>
      </c>
      <c r="AP272" s="24"/>
      <c r="AQ272" s="85" t="s">
        <v>44</v>
      </c>
      <c r="AR272" s="85" t="s">
        <v>44</v>
      </c>
      <c r="AS272" s="85" t="s">
        <v>44</v>
      </c>
      <c r="AT272" s="85" t="s">
        <v>44</v>
      </c>
      <c r="AU272" s="24"/>
      <c r="AV272" s="85" t="s">
        <v>44</v>
      </c>
      <c r="AW272" s="85" t="s">
        <v>44</v>
      </c>
      <c r="AX272" s="85" t="s">
        <v>44</v>
      </c>
      <c r="AY272" s="85" t="s">
        <v>44</v>
      </c>
      <c r="AZ272" s="24"/>
      <c r="BA272" s="85" t="s">
        <v>44</v>
      </c>
    </row>
    <row r="273" spans="1:53" ht="11.65" hidden="1" customHeight="1">
      <c r="A273" s="71" t="s">
        <v>8</v>
      </c>
      <c r="B273" s="24"/>
      <c r="C273" s="73"/>
      <c r="D273" s="73"/>
      <c r="E273" s="73"/>
      <c r="F273" s="73"/>
      <c r="G273" s="24"/>
      <c r="H273" s="73"/>
      <c r="I273" s="73"/>
      <c r="J273" s="73"/>
      <c r="K273" s="73"/>
      <c r="L273" s="24"/>
      <c r="M273" s="73"/>
      <c r="N273" s="73"/>
      <c r="O273" s="73"/>
      <c r="P273" s="73"/>
      <c r="Q273" s="24">
        <f>Q271/L271-1</f>
        <v>3.9215686274509887E-2</v>
      </c>
      <c r="R273" s="73"/>
      <c r="S273" s="73"/>
      <c r="T273" s="73"/>
      <c r="U273" s="73"/>
      <c r="V273" s="24">
        <f t="shared" ref="V273:AD273" si="265">V271/Q271-1</f>
        <v>0.4339622641509433</v>
      </c>
      <c r="W273" s="73">
        <f t="shared" si="265"/>
        <v>0.39999999999999991</v>
      </c>
      <c r="X273" s="73">
        <f t="shared" si="265"/>
        <v>0.44444444444444442</v>
      </c>
      <c r="Y273" s="73">
        <f t="shared" si="265"/>
        <v>-0.19999999999999996</v>
      </c>
      <c r="Z273" s="73">
        <f t="shared" si="265"/>
        <v>-0.38888888888888884</v>
      </c>
      <c r="AA273" s="24">
        <f t="shared" si="265"/>
        <v>6.578947368421062E-2</v>
      </c>
      <c r="AB273" s="73">
        <f t="shared" si="265"/>
        <v>-0.75</v>
      </c>
      <c r="AC273" s="73">
        <f t="shared" si="265"/>
        <v>-0.76923076923076916</v>
      </c>
      <c r="AD273" s="73">
        <f t="shared" si="265"/>
        <v>-0.625</v>
      </c>
      <c r="AE273" s="73">
        <f>AE271/Z271-1</f>
        <v>-0.36363636363636365</v>
      </c>
      <c r="AF273" s="24">
        <f>AF271/AA271-1</f>
        <v>-0.67901234567901236</v>
      </c>
      <c r="AG273" s="85" t="s">
        <v>44</v>
      </c>
      <c r="AH273" s="85" t="s">
        <v>44</v>
      </c>
      <c r="AI273" s="85" t="s">
        <v>44</v>
      </c>
      <c r="AJ273" s="85" t="s">
        <v>44</v>
      </c>
      <c r="AK273" s="92" t="s">
        <v>44</v>
      </c>
      <c r="AL273" s="85" t="s">
        <v>44</v>
      </c>
      <c r="AM273" s="85" t="s">
        <v>44</v>
      </c>
      <c r="AN273" s="85" t="s">
        <v>44</v>
      </c>
      <c r="AO273" s="85" t="s">
        <v>44</v>
      </c>
      <c r="AP273" s="92" t="s">
        <v>44</v>
      </c>
      <c r="AQ273" s="85" t="s">
        <v>44</v>
      </c>
      <c r="AR273" s="85" t="s">
        <v>44</v>
      </c>
      <c r="AS273" s="85" t="s">
        <v>44</v>
      </c>
      <c r="AT273" s="85" t="s">
        <v>44</v>
      </c>
      <c r="AU273" s="92" t="s">
        <v>44</v>
      </c>
      <c r="AV273" s="85" t="s">
        <v>44</v>
      </c>
      <c r="AW273" s="85" t="s">
        <v>44</v>
      </c>
      <c r="AX273" s="85" t="s">
        <v>44</v>
      </c>
      <c r="AY273" s="85" t="s">
        <v>44</v>
      </c>
      <c r="AZ273" s="92" t="s">
        <v>44</v>
      </c>
      <c r="BA273" s="85" t="s">
        <v>44</v>
      </c>
    </row>
    <row r="274" spans="1:53" ht="10.5" customHeight="1">
      <c r="A274" s="50" t="s">
        <v>20</v>
      </c>
      <c r="B274" s="40"/>
      <c r="C274" s="52"/>
      <c r="D274" s="52"/>
      <c r="E274" s="52"/>
      <c r="F274" s="52"/>
      <c r="G274" s="40"/>
      <c r="H274" s="52"/>
      <c r="I274" s="52"/>
      <c r="J274" s="52"/>
      <c r="K274" s="52"/>
      <c r="L274" s="40"/>
      <c r="M274" s="52"/>
      <c r="N274" s="52"/>
      <c r="O274" s="52"/>
      <c r="P274" s="52"/>
      <c r="Q274" s="40"/>
      <c r="R274" s="52"/>
      <c r="S274" s="52"/>
      <c r="T274" s="52"/>
      <c r="U274" s="52"/>
      <c r="V274" s="40"/>
      <c r="W274" s="52"/>
      <c r="X274" s="52"/>
      <c r="Y274" s="52"/>
      <c r="Z274" s="52"/>
      <c r="AA274" s="40"/>
      <c r="AB274" s="52"/>
      <c r="AC274" s="52"/>
      <c r="AD274" s="52"/>
      <c r="AE274" s="52"/>
      <c r="AF274" s="40"/>
      <c r="AG274" s="52"/>
      <c r="AH274" s="52"/>
      <c r="AI274" s="52"/>
      <c r="AJ274" s="52"/>
      <c r="AK274" s="40"/>
      <c r="AL274" s="52"/>
      <c r="AM274" s="52"/>
      <c r="AN274" s="52"/>
      <c r="AO274" s="52"/>
      <c r="AP274" s="40"/>
      <c r="AQ274" s="52"/>
      <c r="AR274" s="52"/>
      <c r="AS274" s="52"/>
      <c r="AT274" s="52"/>
      <c r="AU274" s="40"/>
      <c r="AV274" s="52"/>
      <c r="AW274" s="52"/>
      <c r="AX274" s="52"/>
      <c r="AY274" s="52"/>
      <c r="AZ274" s="40"/>
      <c r="BA274" s="52"/>
    </row>
    <row r="275" spans="1:53" s="36" customFormat="1" ht="12" customHeight="1">
      <c r="A275" s="69" t="s">
        <v>31</v>
      </c>
      <c r="B275" s="56">
        <f t="shared" ref="B275:AG275" si="266">B208/B175</f>
        <v>0.26374725054989001</v>
      </c>
      <c r="C275" s="78">
        <f t="shared" si="266"/>
        <v>0.26491477272727271</v>
      </c>
      <c r="D275" s="78">
        <f t="shared" si="266"/>
        <v>0.32644017725258495</v>
      </c>
      <c r="E275" s="78">
        <f t="shared" si="266"/>
        <v>0.30835734870317005</v>
      </c>
      <c r="F275" s="78">
        <f t="shared" si="266"/>
        <v>0.4157778209563282</v>
      </c>
      <c r="G275" s="56">
        <f t="shared" si="266"/>
        <v>0.31329716062819035</v>
      </c>
      <c r="H275" s="78">
        <f t="shared" si="266"/>
        <v>0.32956259426847662</v>
      </c>
      <c r="I275" s="78">
        <f t="shared" si="266"/>
        <v>0.3292867981790592</v>
      </c>
      <c r="J275" s="78">
        <f t="shared" si="266"/>
        <v>0.36559940431868948</v>
      </c>
      <c r="K275" s="78">
        <f t="shared" si="266"/>
        <v>0.12234042553191489</v>
      </c>
      <c r="L275" s="56">
        <f t="shared" si="266"/>
        <v>0.28719592683386763</v>
      </c>
      <c r="M275" s="78">
        <f t="shared" si="266"/>
        <v>0.37576687116564417</v>
      </c>
      <c r="N275" s="78">
        <f t="shared" si="266"/>
        <v>0.38485080336648814</v>
      </c>
      <c r="O275" s="78">
        <f t="shared" si="266"/>
        <v>0.42025699168556313</v>
      </c>
      <c r="P275" s="78">
        <f t="shared" si="266"/>
        <v>0.37170805116629047</v>
      </c>
      <c r="Q275" s="56">
        <f t="shared" si="266"/>
        <v>0.38818164544936345</v>
      </c>
      <c r="R275" s="78">
        <f t="shared" si="266"/>
        <v>0.17911714770797962</v>
      </c>
      <c r="S275" s="78">
        <f t="shared" si="266"/>
        <v>0.44188034188034186</v>
      </c>
      <c r="T275" s="78">
        <f t="shared" si="266"/>
        <v>0.46037099494097805</v>
      </c>
      <c r="U275" s="78">
        <f t="shared" si="266"/>
        <v>0.35637342908438063</v>
      </c>
      <c r="V275" s="56">
        <f t="shared" si="266"/>
        <v>0.35950946643717729</v>
      </c>
      <c r="W275" s="78">
        <f t="shared" si="266"/>
        <v>0.44954128440366975</v>
      </c>
      <c r="X275" s="78">
        <f t="shared" si="266"/>
        <v>0.37639965546942289</v>
      </c>
      <c r="Y275" s="78">
        <f t="shared" si="266"/>
        <v>0.3646649260226284</v>
      </c>
      <c r="Z275" s="78">
        <f t="shared" si="266"/>
        <v>0.50312221231043708</v>
      </c>
      <c r="AA275" s="56">
        <f t="shared" si="266"/>
        <v>0.42311015118790496</v>
      </c>
      <c r="AB275" s="78">
        <f t="shared" si="266"/>
        <v>0.47387068201948629</v>
      </c>
      <c r="AC275" s="78">
        <f t="shared" si="266"/>
        <v>0.45495093666369313</v>
      </c>
      <c r="AD275" s="78">
        <f t="shared" si="266"/>
        <v>0.43833185448092282</v>
      </c>
      <c r="AE275" s="78">
        <f t="shared" si="266"/>
        <v>0.41689373297002724</v>
      </c>
      <c r="AF275" s="56">
        <f t="shared" si="266"/>
        <v>0.44618133095131757</v>
      </c>
      <c r="AG275" s="78">
        <f t="shared" si="266"/>
        <v>0.46796657381615597</v>
      </c>
      <c r="AH275" s="78">
        <f t="shared" ref="AH275:BA275" si="267">AH208/AH175</f>
        <v>0.43895619757688725</v>
      </c>
      <c r="AI275" s="78">
        <f t="shared" si="267"/>
        <v>0.46068455134135061</v>
      </c>
      <c r="AJ275" s="78">
        <f t="shared" si="267"/>
        <v>0.46685082872928174</v>
      </c>
      <c r="AK275" s="56">
        <v>0.45865184155663657</v>
      </c>
      <c r="AL275" s="78">
        <v>0.49146451033243488</v>
      </c>
      <c r="AM275" s="78">
        <v>0.59909502262443437</v>
      </c>
      <c r="AN275" s="78">
        <v>0.46503178928247046</v>
      </c>
      <c r="AO275" s="78">
        <v>0.39246323529411764</v>
      </c>
      <c r="AP275" s="56">
        <v>0.48740639891082371</v>
      </c>
      <c r="AQ275" s="78">
        <v>0.48201438848920863</v>
      </c>
      <c r="AR275" s="78">
        <v>0.49090909090909091</v>
      </c>
      <c r="AS275" s="78">
        <v>0.47658402203856748</v>
      </c>
      <c r="AT275" s="78">
        <v>0.44454713493530501</v>
      </c>
      <c r="AU275" s="56">
        <v>0.47364818617385351</v>
      </c>
      <c r="AV275" s="78">
        <v>0.47588126159554733</v>
      </c>
      <c r="AW275" s="78">
        <v>0.46880907372400754</v>
      </c>
      <c r="AX275" s="78">
        <v>0.46371347785108391</v>
      </c>
      <c r="AY275" s="78">
        <v>0.44890162368672398</v>
      </c>
      <c r="AZ275" s="56">
        <v>0.46442035815268612</v>
      </c>
      <c r="BA275" s="78">
        <v>0.444967074317968</v>
      </c>
    </row>
    <row r="276" spans="1:53" s="36" customFormat="1" ht="12" customHeight="1">
      <c r="A276" s="69" t="s">
        <v>39</v>
      </c>
      <c r="B276" s="56">
        <f t="shared" ref="B276:AG276" si="268">B217/B175</f>
        <v>0.14737052589482103</v>
      </c>
      <c r="C276" s="78">
        <f t="shared" si="268"/>
        <v>0.17329545454545456</v>
      </c>
      <c r="D276" s="78">
        <f t="shared" si="268"/>
        <v>0.21418020679468242</v>
      </c>
      <c r="E276" s="78">
        <f t="shared" si="268"/>
        <v>0.1952449567723343</v>
      </c>
      <c r="F276" s="78">
        <f t="shared" si="268"/>
        <v>0.25986113809770511</v>
      </c>
      <c r="G276" s="56">
        <f t="shared" si="268"/>
        <v>0.2017846119300209</v>
      </c>
      <c r="H276" s="78">
        <f t="shared" si="268"/>
        <v>0.25339366515837103</v>
      </c>
      <c r="I276" s="78">
        <f t="shared" si="268"/>
        <v>0.23975720789074356</v>
      </c>
      <c r="J276" s="78">
        <f t="shared" si="268"/>
        <v>0.23752792256142963</v>
      </c>
      <c r="K276" s="78">
        <f t="shared" si="268"/>
        <v>0.10334346504559271</v>
      </c>
      <c r="L276" s="56">
        <f t="shared" si="268"/>
        <v>0.20874976428436734</v>
      </c>
      <c r="M276" s="78">
        <f t="shared" si="268"/>
        <v>0.27607361963190186</v>
      </c>
      <c r="N276" s="78">
        <f t="shared" si="268"/>
        <v>0.26702371843917366</v>
      </c>
      <c r="O276" s="78">
        <f t="shared" si="268"/>
        <v>0.28495842781557068</v>
      </c>
      <c r="P276" s="78">
        <f t="shared" si="268"/>
        <v>0.25583145221971409</v>
      </c>
      <c r="Q276" s="56">
        <f t="shared" si="268"/>
        <v>0.2709481284438533</v>
      </c>
      <c r="R276" s="78">
        <f t="shared" si="268"/>
        <v>0.10441426146010187</v>
      </c>
      <c r="S276" s="78">
        <f t="shared" si="268"/>
        <v>0.28205128205128205</v>
      </c>
      <c r="T276" s="78">
        <f t="shared" si="268"/>
        <v>0.26222596964586847</v>
      </c>
      <c r="U276" s="78">
        <f t="shared" si="268"/>
        <v>0.27737881508078993</v>
      </c>
      <c r="V276" s="56">
        <f t="shared" si="268"/>
        <v>0.23085197934595525</v>
      </c>
      <c r="W276" s="78">
        <f t="shared" si="268"/>
        <v>0.29024186822351961</v>
      </c>
      <c r="X276" s="78">
        <f t="shared" si="268"/>
        <v>0.22652885443583118</v>
      </c>
      <c r="Y276" s="78">
        <f t="shared" si="268"/>
        <v>0.21409921671018275</v>
      </c>
      <c r="Z276" s="78">
        <f t="shared" si="268"/>
        <v>0.33006244424620873</v>
      </c>
      <c r="AA276" s="56">
        <f t="shared" si="268"/>
        <v>0.26501079913606912</v>
      </c>
      <c r="AB276" s="78">
        <f t="shared" si="268"/>
        <v>0.26837909654561559</v>
      </c>
      <c r="AC276" s="78">
        <f t="shared" si="268"/>
        <v>0.26048171275646742</v>
      </c>
      <c r="AD276" s="78">
        <f t="shared" si="268"/>
        <v>0.25554569653948533</v>
      </c>
      <c r="AE276" s="78">
        <f t="shared" si="268"/>
        <v>0.23887375113533152</v>
      </c>
      <c r="AF276" s="56">
        <f t="shared" si="268"/>
        <v>0.2559178204555605</v>
      </c>
      <c r="AG276" s="78">
        <f t="shared" si="268"/>
        <v>0.27390900649953576</v>
      </c>
      <c r="AH276" s="78">
        <f t="shared" ref="AH276:BA276" si="269">AH217/AH175</f>
        <v>0.23392357875116496</v>
      </c>
      <c r="AI276" s="78">
        <f t="shared" si="269"/>
        <v>0.2432932469935245</v>
      </c>
      <c r="AJ276" s="78">
        <f t="shared" si="269"/>
        <v>0.26979742173112337</v>
      </c>
      <c r="AK276" s="56">
        <v>0.25526986333101692</v>
      </c>
      <c r="AL276" s="78">
        <v>0.31087151841868821</v>
      </c>
      <c r="AM276" s="78">
        <v>0.34570135746606334</v>
      </c>
      <c r="AN276" s="78">
        <v>0.23251589464123523</v>
      </c>
      <c r="AO276" s="78">
        <v>0.3125</v>
      </c>
      <c r="AP276" s="56">
        <v>0.30043113228953938</v>
      </c>
      <c r="AQ276" s="78">
        <v>0.29496402877697842</v>
      </c>
      <c r="AR276" s="78">
        <v>0.29636363636363638</v>
      </c>
      <c r="AS276" s="78">
        <v>0.31496786042240588</v>
      </c>
      <c r="AT276" s="78">
        <v>0.21719038817005545</v>
      </c>
      <c r="AU276" s="56">
        <v>0.28108601414556239</v>
      </c>
      <c r="AV276" s="78">
        <v>0.29591836734693877</v>
      </c>
      <c r="AW276" s="78">
        <v>0.29962192816635158</v>
      </c>
      <c r="AX276" s="78">
        <v>0.26013195098963243</v>
      </c>
      <c r="AY276" s="78">
        <v>0.24832855778414517</v>
      </c>
      <c r="AZ276" s="56">
        <v>0.27615457115928371</v>
      </c>
      <c r="BA276" s="78">
        <v>0.24741298212605833</v>
      </c>
    </row>
    <row r="277" spans="1:53" s="36" customFormat="1" ht="11.25" customHeight="1">
      <c r="A277" s="69" t="s">
        <v>10</v>
      </c>
      <c r="B277" s="56">
        <f t="shared" ref="B277:AG277" si="270">B223/B175</f>
        <v>0.45190961807638474</v>
      </c>
      <c r="C277" s="78">
        <f t="shared" si="270"/>
        <v>0.41974431818181818</v>
      </c>
      <c r="D277" s="78">
        <f t="shared" si="270"/>
        <v>0.48227474150664695</v>
      </c>
      <c r="E277" s="78">
        <f t="shared" si="270"/>
        <v>0.46253602305475505</v>
      </c>
      <c r="F277" s="78">
        <f t="shared" si="270"/>
        <v>0.79033628897302033</v>
      </c>
      <c r="G277" s="56">
        <f t="shared" si="270"/>
        <v>0.49426609680121958</v>
      </c>
      <c r="H277" s="78">
        <f t="shared" si="270"/>
        <v>0.48868778280542985</v>
      </c>
      <c r="I277" s="78">
        <f t="shared" si="270"/>
        <v>0.48482549317147194</v>
      </c>
      <c r="J277" s="78">
        <f t="shared" si="270"/>
        <v>0.50260610573343256</v>
      </c>
      <c r="K277" s="78">
        <f t="shared" si="270"/>
        <v>0.26975683890577506</v>
      </c>
      <c r="L277" s="56">
        <f t="shared" si="270"/>
        <v>0.43692249669998112</v>
      </c>
      <c r="M277" s="78">
        <f t="shared" si="270"/>
        <v>0.50613496932515334</v>
      </c>
      <c r="N277" s="78">
        <f t="shared" si="270"/>
        <v>0.51568477429227233</v>
      </c>
      <c r="O277" s="78">
        <f t="shared" si="270"/>
        <v>0.54950869236583522</v>
      </c>
      <c r="P277" s="78">
        <f t="shared" si="270"/>
        <v>0.50564334085778784</v>
      </c>
      <c r="Q277" s="56">
        <f t="shared" si="270"/>
        <v>0.51928557856735702</v>
      </c>
      <c r="R277" s="78">
        <f t="shared" si="270"/>
        <v>0.31663837011884549</v>
      </c>
      <c r="S277" s="78">
        <f t="shared" si="270"/>
        <v>0.58803418803418805</v>
      </c>
      <c r="T277" s="78">
        <f t="shared" si="270"/>
        <v>0.61214165261382802</v>
      </c>
      <c r="U277" s="78">
        <f t="shared" si="270"/>
        <v>0.51346499102333931</v>
      </c>
      <c r="V277" s="56">
        <f t="shared" si="270"/>
        <v>0.50753012048192769</v>
      </c>
      <c r="W277" s="78">
        <f t="shared" si="270"/>
        <v>0.59799833194328611</v>
      </c>
      <c r="X277" s="78">
        <f t="shared" si="270"/>
        <v>0.52971576227390182</v>
      </c>
      <c r="Y277" s="78">
        <f t="shared" si="270"/>
        <v>0.52567449956483903</v>
      </c>
      <c r="Z277" s="78">
        <f t="shared" si="270"/>
        <v>0.67172167707404107</v>
      </c>
      <c r="AA277" s="56">
        <f t="shared" si="270"/>
        <v>0.58077753779697627</v>
      </c>
      <c r="AB277" s="78">
        <f t="shared" si="270"/>
        <v>0.62178919397697074</v>
      </c>
      <c r="AC277" s="78">
        <f t="shared" si="270"/>
        <v>0.60481712756467443</v>
      </c>
      <c r="AD277" s="78">
        <f t="shared" si="270"/>
        <v>0.59272404614019525</v>
      </c>
      <c r="AE277" s="78">
        <f t="shared" si="270"/>
        <v>0.57493188010899188</v>
      </c>
      <c r="AF277" s="56">
        <f t="shared" si="270"/>
        <v>0.5987047789191603</v>
      </c>
      <c r="AG277" s="78">
        <f t="shared" si="270"/>
        <v>0.62395543175487467</v>
      </c>
      <c r="AH277" s="78">
        <f t="shared" ref="AH277:BA277" si="271">AH223/AH175</f>
        <v>0.59925442684063379</v>
      </c>
      <c r="AI277" s="78">
        <f t="shared" si="271"/>
        <v>0.62534690101757628</v>
      </c>
      <c r="AJ277" s="78">
        <f t="shared" si="271"/>
        <v>0.62338858195211788</v>
      </c>
      <c r="AK277" s="56">
        <v>0.61802177438035677</v>
      </c>
      <c r="AL277" s="78">
        <v>0.64959568733153639</v>
      </c>
      <c r="AM277" s="78">
        <v>0.7619909502262443</v>
      </c>
      <c r="AN277" s="78">
        <v>0.63215258855585832</v>
      </c>
      <c r="AO277" s="78">
        <v>0.5625</v>
      </c>
      <c r="AP277" s="56">
        <v>0.65191740412979349</v>
      </c>
      <c r="AQ277" s="78">
        <v>0.64658273381294962</v>
      </c>
      <c r="AR277" s="78">
        <v>0.65909090909090906</v>
      </c>
      <c r="AS277" s="78">
        <v>0.64921946740128555</v>
      </c>
      <c r="AT277" s="78">
        <v>0.59334565619223656</v>
      </c>
      <c r="AU277" s="56">
        <v>0.63723477070499657</v>
      </c>
      <c r="AV277" s="78">
        <v>0.6428571428571429</v>
      </c>
      <c r="AW277" s="78">
        <v>0.63610586011342152</v>
      </c>
      <c r="AX277" s="78">
        <v>0.63901979264844488</v>
      </c>
      <c r="AY277" s="78">
        <v>0.62559694364851959</v>
      </c>
      <c r="AZ277" s="56">
        <v>0.63595664467483504</v>
      </c>
      <c r="BA277" s="78">
        <v>0.63687676387582315</v>
      </c>
    </row>
    <row r="278" spans="1:53" s="36" customFormat="1" ht="11.25" customHeight="1">
      <c r="A278" s="69" t="s">
        <v>19</v>
      </c>
      <c r="B278" s="56">
        <f t="shared" ref="B278:AG278" si="272">B234/B175</f>
        <v>0.10097980403919216</v>
      </c>
      <c r="C278" s="78">
        <f t="shared" si="272"/>
        <v>0.11221590909090909</v>
      </c>
      <c r="D278" s="78">
        <f t="shared" si="272"/>
        <v>9.7488921713441659E-2</v>
      </c>
      <c r="E278" s="78">
        <f t="shared" si="272"/>
        <v>0.11239193083573487</v>
      </c>
      <c r="F278" s="78">
        <f t="shared" si="272"/>
        <v>0.30466478259730945</v>
      </c>
      <c r="G278" s="56">
        <f t="shared" si="272"/>
        <v>0.1308413904725188</v>
      </c>
      <c r="H278" s="78">
        <f t="shared" si="272"/>
        <v>0.17948717948717949</v>
      </c>
      <c r="I278" s="78">
        <f t="shared" si="272"/>
        <v>0.1449165402124431</v>
      </c>
      <c r="J278" s="78">
        <f t="shared" si="272"/>
        <v>0.15189873417721519</v>
      </c>
      <c r="K278" s="78">
        <f t="shared" si="272"/>
        <v>0.16717325227963525</v>
      </c>
      <c r="L278" s="56">
        <f t="shared" si="272"/>
        <v>0.16085234772770129</v>
      </c>
      <c r="M278" s="78">
        <f t="shared" si="272"/>
        <v>0.18251533742331288</v>
      </c>
      <c r="N278" s="78">
        <f t="shared" si="272"/>
        <v>0.18898240244835501</v>
      </c>
      <c r="O278" s="78">
        <f t="shared" si="272"/>
        <v>0.18518518518518517</v>
      </c>
      <c r="P278" s="78">
        <f t="shared" si="272"/>
        <v>0.2272385252069225</v>
      </c>
      <c r="Q278" s="56">
        <f t="shared" si="272"/>
        <v>0.1960858825764773</v>
      </c>
      <c r="R278" s="78">
        <f t="shared" si="272"/>
        <v>0.27079796264855688</v>
      </c>
      <c r="S278" s="78">
        <f t="shared" si="272"/>
        <v>0.27264957264957262</v>
      </c>
      <c r="T278" s="78">
        <f t="shared" si="272"/>
        <v>0.22596964586846544</v>
      </c>
      <c r="U278" s="78">
        <f t="shared" si="272"/>
        <v>0.2324955116696589</v>
      </c>
      <c r="V278" s="56">
        <f t="shared" si="272"/>
        <v>0.25064543889845092</v>
      </c>
      <c r="W278" s="78">
        <f t="shared" si="272"/>
        <v>0.22435362802335279</v>
      </c>
      <c r="X278" s="78">
        <f t="shared" si="272"/>
        <v>0.20499569336778639</v>
      </c>
      <c r="Y278" s="78">
        <f t="shared" si="272"/>
        <v>0.21671018276762402</v>
      </c>
      <c r="Z278" s="78">
        <f t="shared" si="272"/>
        <v>0.18019625334522749</v>
      </c>
      <c r="AA278" s="56">
        <f t="shared" si="272"/>
        <v>0.20691144708423326</v>
      </c>
      <c r="AB278" s="78">
        <f t="shared" si="272"/>
        <v>0.16209034543844109</v>
      </c>
      <c r="AC278" s="78">
        <f t="shared" si="272"/>
        <v>0.16592328278322926</v>
      </c>
      <c r="AD278" s="78">
        <f t="shared" si="272"/>
        <v>0.17568766637089619</v>
      </c>
      <c r="AE278" s="78">
        <f t="shared" si="272"/>
        <v>0.20163487738419619</v>
      </c>
      <c r="AF278" s="56">
        <f t="shared" si="272"/>
        <v>0.17619472979008485</v>
      </c>
      <c r="AG278" s="78">
        <f t="shared" si="272"/>
        <v>0.19498607242339833</v>
      </c>
      <c r="AH278" s="78">
        <f t="shared" ref="AH278:BA278" si="273">AH234/AH175</f>
        <v>0.19291705498602049</v>
      </c>
      <c r="AI278" s="78">
        <f t="shared" si="273"/>
        <v>0.19426456984273821</v>
      </c>
      <c r="AJ278" s="78">
        <f t="shared" si="273"/>
        <v>0.17955801104972377</v>
      </c>
      <c r="AK278" s="56">
        <v>0.19041000694927032</v>
      </c>
      <c r="AL278" s="78">
        <v>0.20754716981132076</v>
      </c>
      <c r="AM278" s="78">
        <v>0.17285067873303167</v>
      </c>
      <c r="AN278" s="78">
        <v>0.20890099909173479</v>
      </c>
      <c r="AO278" s="78">
        <v>0.18106617647058823</v>
      </c>
      <c r="AP278" s="56">
        <v>0.19264805990469708</v>
      </c>
      <c r="AQ278" s="78">
        <v>0.17535971223021582</v>
      </c>
      <c r="AR278" s="78">
        <v>0.20636363636363636</v>
      </c>
      <c r="AS278" s="78">
        <v>0.19008264462809918</v>
      </c>
      <c r="AT278" s="78">
        <v>0.18946395563770796</v>
      </c>
      <c r="AU278" s="56">
        <v>0.19028062970568105</v>
      </c>
      <c r="AV278" s="78">
        <v>0.19480519480519481</v>
      </c>
      <c r="AW278" s="78">
        <v>0.20699432892249528</v>
      </c>
      <c r="AX278" s="78">
        <v>0.16022620169651272</v>
      </c>
      <c r="AY278" s="78">
        <v>0.21585482330468003</v>
      </c>
      <c r="AZ278" s="56">
        <v>0.19439208294062205</v>
      </c>
      <c r="BA278" s="78">
        <v>0.19285042333019756</v>
      </c>
    </row>
    <row r="279" spans="1:53" ht="6" customHeight="1">
      <c r="A279" s="54"/>
      <c r="B279" s="54"/>
      <c r="C279" s="54"/>
      <c r="D279" s="54"/>
      <c r="E279" s="54"/>
      <c r="F279" s="54"/>
      <c r="G279" s="54"/>
      <c r="H279" s="54"/>
      <c r="I279" s="54"/>
      <c r="J279" s="54"/>
      <c r="K279" s="54"/>
      <c r="L279" s="54"/>
      <c r="M279" s="54"/>
      <c r="N279" s="54"/>
      <c r="O279" s="54"/>
      <c r="P279" s="54"/>
      <c r="Q279" s="54"/>
      <c r="R279" s="54"/>
      <c r="S279" s="54"/>
      <c r="T279" s="54"/>
      <c r="U279" s="54"/>
      <c r="V279" s="54"/>
      <c r="W279" s="54"/>
      <c r="X279" s="54"/>
      <c r="Y279" s="54"/>
      <c r="Z279" s="54"/>
      <c r="AA279" s="54"/>
      <c r="AB279" s="54"/>
      <c r="AC279" s="54"/>
      <c r="AD279" s="54"/>
      <c r="AE279" s="54"/>
      <c r="AF279" s="54"/>
      <c r="AG279" s="54"/>
      <c r="AH279" s="54"/>
      <c r="AI279" s="54"/>
      <c r="AJ279" s="54"/>
      <c r="AK279" s="54"/>
      <c r="AL279" s="54"/>
      <c r="AM279" s="54"/>
      <c r="AN279" s="54"/>
      <c r="AO279" s="54"/>
      <c r="AP279" s="54"/>
      <c r="AQ279" s="54"/>
      <c r="AR279" s="54"/>
      <c r="AS279" s="54"/>
      <c r="AT279" s="54"/>
      <c r="AU279" s="54"/>
      <c r="AV279" s="54"/>
      <c r="AW279" s="54"/>
      <c r="AX279" s="54"/>
      <c r="AY279" s="54"/>
      <c r="AZ279" s="54"/>
      <c r="BA279" s="54"/>
    </row>
    <row r="280" spans="1:53" ht="20.25">
      <c r="A280" s="35" t="s">
        <v>3</v>
      </c>
      <c r="B280" s="28"/>
      <c r="C280" s="28"/>
      <c r="D280" s="28"/>
      <c r="E280" s="28"/>
      <c r="F280" s="28"/>
      <c r="G280" s="28"/>
      <c r="H280" s="28"/>
      <c r="I280" s="28"/>
      <c r="J280" s="28"/>
      <c r="K280" s="28"/>
      <c r="L280" s="28"/>
      <c r="M280" s="28"/>
      <c r="N280" s="28"/>
      <c r="O280" s="28"/>
      <c r="P280" s="28"/>
      <c r="Q280" s="28"/>
      <c r="R280" s="28"/>
      <c r="S280" s="28"/>
      <c r="T280" s="28"/>
      <c r="U280" s="28"/>
      <c r="V280" s="28"/>
      <c r="W280" s="28"/>
      <c r="X280" s="28"/>
      <c r="Y280" s="28"/>
      <c r="Z280" s="28"/>
      <c r="AA280" s="28"/>
      <c r="AB280" s="28"/>
      <c r="AC280" s="28"/>
      <c r="AD280" s="28"/>
      <c r="AE280" s="28"/>
      <c r="AF280" s="28"/>
      <c r="AG280" s="28"/>
      <c r="AH280" s="28"/>
      <c r="AI280" s="28"/>
      <c r="AJ280" s="28"/>
      <c r="AK280" s="28"/>
      <c r="AL280" s="28"/>
      <c r="AM280" s="28"/>
      <c r="AN280" s="28"/>
      <c r="AO280" s="28"/>
      <c r="AP280" s="28"/>
      <c r="AQ280" s="28"/>
      <c r="AR280" s="28"/>
      <c r="AS280" s="28"/>
      <c r="AT280" s="28"/>
      <c r="AU280" s="28"/>
      <c r="AV280" s="28"/>
      <c r="AW280" s="28"/>
      <c r="AX280" s="28"/>
      <c r="AY280" s="28"/>
      <c r="AZ280" s="28"/>
      <c r="BA280" s="28"/>
    </row>
    <row r="281" spans="1:53">
      <c r="A281" s="40" t="s">
        <v>86</v>
      </c>
      <c r="B281" s="41"/>
      <c r="C281" s="42"/>
      <c r="D281" s="42"/>
      <c r="E281" s="42"/>
      <c r="F281" s="42"/>
      <c r="G281" s="41"/>
      <c r="H281" s="42"/>
      <c r="I281" s="42"/>
      <c r="J281" s="42"/>
      <c r="K281" s="42"/>
      <c r="L281" s="41"/>
      <c r="M281" s="42"/>
      <c r="N281" s="42"/>
      <c r="O281" s="42"/>
      <c r="P281" s="42"/>
      <c r="Q281" s="41"/>
      <c r="R281" s="42"/>
      <c r="S281" s="42"/>
      <c r="T281" s="42"/>
      <c r="U281" s="42"/>
      <c r="V281" s="41"/>
      <c r="W281" s="42"/>
      <c r="X281" s="42"/>
      <c r="Y281" s="42"/>
      <c r="Z281" s="42"/>
      <c r="AA281" s="41"/>
      <c r="AB281" s="42"/>
      <c r="AC281" s="42"/>
      <c r="AD281" s="42"/>
      <c r="AE281" s="42"/>
      <c r="AF281" s="41"/>
      <c r="AG281" s="42"/>
      <c r="AH281" s="42"/>
      <c r="AI281" s="42"/>
      <c r="AJ281" s="42"/>
      <c r="AK281" s="41"/>
      <c r="AL281" s="42"/>
      <c r="AM281" s="42"/>
      <c r="AN281" s="42"/>
      <c r="AO281" s="42"/>
      <c r="AP281" s="41"/>
      <c r="AQ281" s="42"/>
      <c r="AR281" s="42"/>
      <c r="AS281" s="42"/>
      <c r="AT281" s="42"/>
      <c r="AU281" s="41"/>
      <c r="AV281" s="42"/>
      <c r="AW281" s="42"/>
      <c r="AX281" s="42"/>
      <c r="AY281" s="42"/>
      <c r="AZ281" s="41"/>
      <c r="BA281" s="42"/>
    </row>
    <row r="282" spans="1:53">
      <c r="A282" s="69" t="s">
        <v>64</v>
      </c>
      <c r="B282" s="37">
        <f>B285+B288</f>
        <v>4684</v>
      </c>
      <c r="C282" s="70">
        <v>1173</v>
      </c>
      <c r="D282" s="70">
        <v>1188</v>
      </c>
      <c r="E282" s="70">
        <v>1214</v>
      </c>
      <c r="F282" s="70">
        <f>G282-E282-D282-C282</f>
        <v>1138</v>
      </c>
      <c r="G282" s="37">
        <f>G285+G288</f>
        <v>4713</v>
      </c>
      <c r="H282" s="70">
        <f>H285+H288</f>
        <v>1265</v>
      </c>
      <c r="I282" s="70">
        <f>I285+I288</f>
        <v>1346</v>
      </c>
      <c r="J282" s="70">
        <f>J285+J288</f>
        <v>1372</v>
      </c>
      <c r="K282" s="70">
        <f>L282-J282-I282-H282</f>
        <v>1393</v>
      </c>
      <c r="L282" s="37">
        <f>L285+L288</f>
        <v>5376</v>
      </c>
      <c r="M282" s="70">
        <f>M285+M288</f>
        <v>1393</v>
      </c>
      <c r="N282" s="70">
        <f>N285+N288</f>
        <v>1429</v>
      </c>
      <c r="O282" s="70">
        <f>O285+O288</f>
        <v>1442</v>
      </c>
      <c r="P282" s="70">
        <f>Q282-O282-N282-M282</f>
        <v>1468</v>
      </c>
      <c r="Q282" s="37">
        <f>Q285+Q288</f>
        <v>5732</v>
      </c>
      <c r="R282" s="70">
        <f>R285+R288</f>
        <v>1450</v>
      </c>
      <c r="S282" s="70">
        <v>1438</v>
      </c>
      <c r="T282" s="70">
        <f>T285+T288</f>
        <v>1421</v>
      </c>
      <c r="U282" s="70">
        <f>V282-T282-S282-R282</f>
        <v>1239</v>
      </c>
      <c r="V282" s="37">
        <v>5548</v>
      </c>
      <c r="W282" s="70">
        <f>W285+W288</f>
        <v>1244</v>
      </c>
      <c r="X282" s="70">
        <v>1148</v>
      </c>
      <c r="Y282" s="70">
        <f>Y285+Y288</f>
        <v>1049</v>
      </c>
      <c r="Z282" s="70">
        <f>AA282-Y282-X282-W282</f>
        <v>1027</v>
      </c>
      <c r="AA282" s="37">
        <f>AA285+AA288</f>
        <v>4468</v>
      </c>
      <c r="AB282" s="70">
        <f>AB285+AB288</f>
        <v>964</v>
      </c>
      <c r="AC282" s="70">
        <f>AC285+AC288</f>
        <v>915</v>
      </c>
      <c r="AD282" s="70">
        <f>AD285+AD288</f>
        <v>947</v>
      </c>
      <c r="AE282" s="70">
        <f>AF282-AD282-AC282-AB282</f>
        <v>983</v>
      </c>
      <c r="AF282" s="37">
        <f>AF285+AF288</f>
        <v>3809</v>
      </c>
      <c r="AG282" s="70">
        <f>AG285+AG288</f>
        <v>917</v>
      </c>
      <c r="AH282" s="70">
        <f>AH285+AH288</f>
        <v>843</v>
      </c>
      <c r="AI282" s="70">
        <f>AI285+AI288</f>
        <v>824</v>
      </c>
      <c r="AJ282" s="70">
        <f>AK282-AI282-AH282-AG282</f>
        <v>835</v>
      </c>
      <c r="AK282" s="37">
        <v>3419</v>
      </c>
      <c r="AL282" s="70">
        <v>727</v>
      </c>
      <c r="AM282" s="70">
        <v>721</v>
      </c>
      <c r="AN282" s="70">
        <v>729</v>
      </c>
      <c r="AO282" s="70">
        <v>713</v>
      </c>
      <c r="AP282" s="37">
        <v>2890</v>
      </c>
      <c r="AQ282" s="70">
        <v>671</v>
      </c>
      <c r="AR282" s="70">
        <v>658</v>
      </c>
      <c r="AS282" s="70">
        <v>649</v>
      </c>
      <c r="AT282" s="70">
        <v>652</v>
      </c>
      <c r="AU282" s="37">
        <v>2630</v>
      </c>
      <c r="AV282" s="70">
        <v>628</v>
      </c>
      <c r="AW282" s="70">
        <v>632</v>
      </c>
      <c r="AX282" s="70">
        <v>635</v>
      </c>
      <c r="AY282" s="70">
        <v>651</v>
      </c>
      <c r="AZ282" s="37">
        <v>2546</v>
      </c>
      <c r="BA282" s="70">
        <v>619</v>
      </c>
    </row>
    <row r="283" spans="1:53" ht="11.25" customHeight="1">
      <c r="A283" s="71" t="s">
        <v>7</v>
      </c>
      <c r="B283" s="24"/>
      <c r="C283" s="72"/>
      <c r="D283" s="72">
        <f>D282/C282-1</f>
        <v>1.2787723785166349E-2</v>
      </c>
      <c r="E283" s="72">
        <f>E282/D282-1</f>
        <v>2.1885521885521841E-2</v>
      </c>
      <c r="F283" s="72">
        <f>F282/E282-1</f>
        <v>-6.2602965403624422E-2</v>
      </c>
      <c r="G283" s="24"/>
      <c r="H283" s="72">
        <f>H282/F282-1</f>
        <v>0.11159929701230231</v>
      </c>
      <c r="I283" s="72">
        <f>I282/H282-1</f>
        <v>6.4031620553359758E-2</v>
      </c>
      <c r="J283" s="72">
        <f>J282/I282-1</f>
        <v>1.9316493313521477E-2</v>
      </c>
      <c r="K283" s="72">
        <f>K282/J282-1</f>
        <v>1.5306122448979664E-2</v>
      </c>
      <c r="L283" s="24"/>
      <c r="M283" s="72">
        <f>M282/K282-1</f>
        <v>0</v>
      </c>
      <c r="N283" s="72">
        <f>N282/M282-1</f>
        <v>2.5843503230437825E-2</v>
      </c>
      <c r="O283" s="72">
        <f>O282/N282-1</f>
        <v>9.0972708187544438E-3</v>
      </c>
      <c r="P283" s="72">
        <f>P282/O282-1</f>
        <v>1.8030513176144236E-2</v>
      </c>
      <c r="Q283" s="24"/>
      <c r="R283" s="72">
        <f>R282/P282-1</f>
        <v>-1.2261580381471404E-2</v>
      </c>
      <c r="S283" s="72">
        <f>S282/R282-1</f>
        <v>-8.2758620689654672E-3</v>
      </c>
      <c r="T283" s="72">
        <f>T282/S282-1</f>
        <v>-1.182197496522952E-2</v>
      </c>
      <c r="U283" s="72">
        <f>U282/T282-1</f>
        <v>-0.1280788177339901</v>
      </c>
      <c r="V283" s="24"/>
      <c r="W283" s="72">
        <f>W282/U282-1</f>
        <v>4.0355125100888234E-3</v>
      </c>
      <c r="X283" s="72">
        <f>X282/W282-1</f>
        <v>-7.7170418006430874E-2</v>
      </c>
      <c r="Y283" s="72">
        <f>Y282/X282-1</f>
        <v>-8.6236933797909421E-2</v>
      </c>
      <c r="Z283" s="72">
        <f>Z282/Y282-1</f>
        <v>-2.0972354623450928E-2</v>
      </c>
      <c r="AA283" s="24"/>
      <c r="AB283" s="72">
        <f>AB282/Z282-1</f>
        <v>-6.1343719571567701E-2</v>
      </c>
      <c r="AC283" s="72">
        <f>AC282/AB282-1</f>
        <v>-5.0829875518672241E-2</v>
      </c>
      <c r="AD283" s="72">
        <f>AD282/AC282-1</f>
        <v>3.4972677595628499E-2</v>
      </c>
      <c r="AE283" s="72">
        <f>AE282/AD282-1</f>
        <v>3.8014783526927109E-2</v>
      </c>
      <c r="AF283" s="24"/>
      <c r="AG283" s="72">
        <f>AG282/AE282-1</f>
        <v>-6.7141403865717209E-2</v>
      </c>
      <c r="AH283" s="72">
        <f>AH282/AG282-1</f>
        <v>-8.0697928026172261E-2</v>
      </c>
      <c r="AI283" s="72">
        <f>AI282/AH282-1</f>
        <v>-2.2538552787663146E-2</v>
      </c>
      <c r="AJ283" s="72">
        <f>AJ282/AI282-1</f>
        <v>1.3349514563106846E-2</v>
      </c>
      <c r="AK283" s="24"/>
      <c r="AL283" s="72">
        <v>-0.12934131736526944</v>
      </c>
      <c r="AM283" s="72">
        <v>-8.2530949105914519E-3</v>
      </c>
      <c r="AN283" s="72">
        <v>1.1095700416088761E-2</v>
      </c>
      <c r="AO283" s="72">
        <v>-2.1947873799725626E-2</v>
      </c>
      <c r="AP283" s="24"/>
      <c r="AQ283" s="72">
        <v>-5.8906030855540026E-2</v>
      </c>
      <c r="AR283" s="72">
        <v>-1.9374068554396384E-2</v>
      </c>
      <c r="AS283" s="72">
        <v>-1.3677811550152019E-2</v>
      </c>
      <c r="AT283" s="72">
        <v>4.6224961479199855E-3</v>
      </c>
      <c r="AU283" s="24"/>
      <c r="AV283" s="72">
        <v>-3.6809815950920255E-2</v>
      </c>
      <c r="AW283" s="72">
        <v>6.3694267515923553E-3</v>
      </c>
      <c r="AX283" s="72">
        <v>4.746835443038E-3</v>
      </c>
      <c r="AY283" s="72">
        <v>2.5196850393700787E-2</v>
      </c>
      <c r="AZ283" s="24"/>
      <c r="BA283" s="72">
        <v>-4.915514592933945E-2</v>
      </c>
    </row>
    <row r="284" spans="1:53" ht="11.25" customHeight="1">
      <c r="A284" s="71" t="s">
        <v>8</v>
      </c>
      <c r="B284" s="24"/>
      <c r="C284" s="73"/>
      <c r="D284" s="73"/>
      <c r="E284" s="73"/>
      <c r="F284" s="73"/>
      <c r="G284" s="24">
        <f t="shared" ref="G284:N284" si="274">G282/B282-1</f>
        <v>6.1912894961571041E-3</v>
      </c>
      <c r="H284" s="73">
        <f t="shared" si="274"/>
        <v>7.8431372549019551E-2</v>
      </c>
      <c r="I284" s="73">
        <f t="shared" si="274"/>
        <v>0.132996632996633</v>
      </c>
      <c r="J284" s="73">
        <f t="shared" si="274"/>
        <v>0.13014827018121911</v>
      </c>
      <c r="K284" s="73">
        <f t="shared" si="274"/>
        <v>0.22407732864674879</v>
      </c>
      <c r="L284" s="24">
        <f t="shared" si="274"/>
        <v>0.14067472947167414</v>
      </c>
      <c r="M284" s="73">
        <f t="shared" si="274"/>
        <v>0.10118577075098822</v>
      </c>
      <c r="N284" s="73">
        <f t="shared" si="274"/>
        <v>6.1664190193164936E-2</v>
      </c>
      <c r="O284" s="73">
        <f t="shared" ref="O284:Y284" si="275">O282/J282-1</f>
        <v>5.1020408163265252E-2</v>
      </c>
      <c r="P284" s="73">
        <f t="shared" si="275"/>
        <v>5.3840631730079025E-2</v>
      </c>
      <c r="Q284" s="24">
        <f t="shared" si="275"/>
        <v>6.6220238095238138E-2</v>
      </c>
      <c r="R284" s="73">
        <f t="shared" si="275"/>
        <v>4.0918880114860112E-2</v>
      </c>
      <c r="S284" s="73">
        <f t="shared" si="275"/>
        <v>6.2981105668300508E-3</v>
      </c>
      <c r="T284" s="73">
        <f t="shared" si="275"/>
        <v>-1.4563106796116498E-2</v>
      </c>
      <c r="U284" s="73">
        <f t="shared" si="275"/>
        <v>-0.15599455040871935</v>
      </c>
      <c r="V284" s="24">
        <f t="shared" si="275"/>
        <v>-3.2100488485694356E-2</v>
      </c>
      <c r="W284" s="73">
        <f t="shared" si="275"/>
        <v>-0.14206896551724135</v>
      </c>
      <c r="X284" s="73">
        <f t="shared" si="275"/>
        <v>-0.20166898470097361</v>
      </c>
      <c r="Y284" s="73">
        <f t="shared" si="275"/>
        <v>-0.26178747361013366</v>
      </c>
      <c r="Z284" s="73">
        <f t="shared" ref="Z284:AI284" si="276">Z282/U282-1</f>
        <v>-0.17110573042776434</v>
      </c>
      <c r="AA284" s="24">
        <f t="shared" si="276"/>
        <v>-0.19466474405191059</v>
      </c>
      <c r="AB284" s="73">
        <f t="shared" si="276"/>
        <v>-0.22508038585209</v>
      </c>
      <c r="AC284" s="73">
        <f t="shared" si="276"/>
        <v>-0.20296167247386765</v>
      </c>
      <c r="AD284" s="73">
        <f t="shared" si="276"/>
        <v>-9.7235462345090617E-2</v>
      </c>
      <c r="AE284" s="73">
        <f t="shared" si="276"/>
        <v>-4.284323271665047E-2</v>
      </c>
      <c r="AF284" s="24">
        <f t="shared" si="276"/>
        <v>-0.14749328558639208</v>
      </c>
      <c r="AG284" s="73">
        <f t="shared" si="276"/>
        <v>-4.875518672199175E-2</v>
      </c>
      <c r="AH284" s="73">
        <f t="shared" si="276"/>
        <v>-7.8688524590163955E-2</v>
      </c>
      <c r="AI284" s="73">
        <f t="shared" si="276"/>
        <v>-0.12988384371700101</v>
      </c>
      <c r="AJ284" s="73">
        <f t="shared" ref="AJ284:AS284" si="277">AJ282/AE282-1</f>
        <v>-0.15055951169888093</v>
      </c>
      <c r="AK284" s="24">
        <v>-0.10238907849829348</v>
      </c>
      <c r="AL284" s="73">
        <v>-0.20719738276990185</v>
      </c>
      <c r="AM284" s="73">
        <v>-0.1447212336892052</v>
      </c>
      <c r="AN284" s="73">
        <v>-0.11529126213592233</v>
      </c>
      <c r="AO284" s="73">
        <v>-0.1461077844311377</v>
      </c>
      <c r="AP284" s="24">
        <v>-0.15472360339280489</v>
      </c>
      <c r="AQ284" s="73">
        <v>-7.7028885832187033E-2</v>
      </c>
      <c r="AR284" s="73">
        <v>-8.737864077669899E-2</v>
      </c>
      <c r="AS284" s="73">
        <v>-0.10973936899862824</v>
      </c>
      <c r="AT284" s="73">
        <v>-8.5553997194950937E-2</v>
      </c>
      <c r="AU284" s="24">
        <v>-8.9965397923875479E-2</v>
      </c>
      <c r="AV284" s="73">
        <v>-6.4083457526080467E-2</v>
      </c>
      <c r="AW284" s="73">
        <v>-3.951367781155013E-2</v>
      </c>
      <c r="AX284" s="73">
        <v>-2.1571648690292711E-2</v>
      </c>
      <c r="AY284" s="73">
        <v>-1.5337423312883347E-3</v>
      </c>
      <c r="AZ284" s="24">
        <v>-3.1939163498098888E-2</v>
      </c>
      <c r="BA284" s="73">
        <v>-1.4331210191082855E-2</v>
      </c>
    </row>
    <row r="285" spans="1:53">
      <c r="A285" s="69" t="s">
        <v>65</v>
      </c>
      <c r="B285" s="37">
        <v>3972</v>
      </c>
      <c r="C285" s="80" t="s">
        <v>53</v>
      </c>
      <c r="D285" s="80" t="s">
        <v>53</v>
      </c>
      <c r="E285" s="80" t="s">
        <v>53</v>
      </c>
      <c r="F285" s="80" t="s">
        <v>53</v>
      </c>
      <c r="G285" s="37">
        <v>4020</v>
      </c>
      <c r="H285" s="70">
        <v>1019</v>
      </c>
      <c r="I285" s="70">
        <v>1050</v>
      </c>
      <c r="J285" s="70">
        <v>1101</v>
      </c>
      <c r="K285" s="70">
        <f>L285-J285-I285-H285</f>
        <v>1086</v>
      </c>
      <c r="L285" s="37">
        <v>4256</v>
      </c>
      <c r="M285" s="70">
        <v>1106</v>
      </c>
      <c r="N285" s="70">
        <v>1140</v>
      </c>
      <c r="O285" s="70">
        <v>1159</v>
      </c>
      <c r="P285" s="70">
        <f>Q285-O285-N285-M285</f>
        <v>1145</v>
      </c>
      <c r="Q285" s="37">
        <v>4550</v>
      </c>
      <c r="R285" s="70">
        <v>949</v>
      </c>
      <c r="S285" s="70">
        <v>925</v>
      </c>
      <c r="T285" s="70">
        <v>914</v>
      </c>
      <c r="U285" s="70">
        <f>V285-T285-S285-R285</f>
        <v>849</v>
      </c>
      <c r="V285" s="37">
        <v>3637</v>
      </c>
      <c r="W285" s="70">
        <v>834</v>
      </c>
      <c r="X285" s="70">
        <v>857</v>
      </c>
      <c r="Y285" s="70">
        <v>816</v>
      </c>
      <c r="Z285" s="70">
        <f>AA285-Y285-X285-W285</f>
        <v>754</v>
      </c>
      <c r="AA285" s="37">
        <v>3261</v>
      </c>
      <c r="AB285" s="70">
        <v>714</v>
      </c>
      <c r="AC285" s="70">
        <v>696</v>
      </c>
      <c r="AD285" s="70">
        <v>710</v>
      </c>
      <c r="AE285" s="70">
        <f>AF285-AD285-AC285-AB285</f>
        <v>688</v>
      </c>
      <c r="AF285" s="37">
        <v>2808</v>
      </c>
      <c r="AG285" s="70">
        <v>637</v>
      </c>
      <c r="AH285" s="70">
        <v>622</v>
      </c>
      <c r="AI285" s="70">
        <v>610</v>
      </c>
      <c r="AJ285" s="70">
        <f>AK285-AI285-AH285-AG285</f>
        <v>584</v>
      </c>
      <c r="AK285" s="37">
        <v>2453</v>
      </c>
      <c r="AL285" s="70">
        <v>499</v>
      </c>
      <c r="AM285" s="70">
        <v>502</v>
      </c>
      <c r="AN285" s="70">
        <v>521</v>
      </c>
      <c r="AO285" s="70">
        <v>477</v>
      </c>
      <c r="AP285" s="37">
        <v>1999</v>
      </c>
      <c r="AQ285" s="70">
        <v>455</v>
      </c>
      <c r="AR285" s="70">
        <v>456</v>
      </c>
      <c r="AS285" s="70">
        <v>468</v>
      </c>
      <c r="AT285" s="70">
        <v>439</v>
      </c>
      <c r="AU285" s="37">
        <v>1818</v>
      </c>
      <c r="AV285" s="70">
        <v>435</v>
      </c>
      <c r="AW285" s="70">
        <v>449</v>
      </c>
      <c r="AX285" s="70">
        <v>461</v>
      </c>
      <c r="AY285" s="70">
        <v>437</v>
      </c>
      <c r="AZ285" s="37">
        <v>1782</v>
      </c>
      <c r="BA285" s="70">
        <v>431</v>
      </c>
    </row>
    <row r="286" spans="1:53" ht="10.5" customHeight="1">
      <c r="A286" s="71" t="s">
        <v>7</v>
      </c>
      <c r="B286" s="24"/>
      <c r="C286" s="72"/>
      <c r="D286" s="72"/>
      <c r="E286" s="72"/>
      <c r="F286" s="72"/>
      <c r="G286" s="24"/>
      <c r="H286" s="72"/>
      <c r="I286" s="72">
        <f>I285/H285-1</f>
        <v>3.0421982335623099E-2</v>
      </c>
      <c r="J286" s="72">
        <f>J285/I285-1</f>
        <v>4.8571428571428488E-2</v>
      </c>
      <c r="K286" s="72">
        <f>K285/J285-1</f>
        <v>-1.3623978201634857E-2</v>
      </c>
      <c r="L286" s="24"/>
      <c r="M286" s="72">
        <f>M285/K285-1</f>
        <v>1.8416206261510082E-2</v>
      </c>
      <c r="N286" s="72">
        <f>N285/M285-1</f>
        <v>3.0741410488245968E-2</v>
      </c>
      <c r="O286" s="72">
        <f>O285/N285-1</f>
        <v>1.6666666666666607E-2</v>
      </c>
      <c r="P286" s="72">
        <f>P285/O285-1</f>
        <v>-1.2079378774805916E-2</v>
      </c>
      <c r="Q286" s="24"/>
      <c r="R286" s="72">
        <f>R285/P285-1</f>
        <v>-0.17117903930131007</v>
      </c>
      <c r="S286" s="72">
        <f>S285/R285-1</f>
        <v>-2.5289778714436273E-2</v>
      </c>
      <c r="T286" s="72">
        <f>T285/S285-1</f>
        <v>-1.1891891891891881E-2</v>
      </c>
      <c r="U286" s="72">
        <f>U285/T285-1</f>
        <v>-7.1115973741794347E-2</v>
      </c>
      <c r="V286" s="24"/>
      <c r="W286" s="72">
        <f>W285/U285-1</f>
        <v>-1.7667844522968212E-2</v>
      </c>
      <c r="X286" s="72">
        <f>X285/W285-1</f>
        <v>2.7577937649880147E-2</v>
      </c>
      <c r="Y286" s="72">
        <f>Y285/X285-1</f>
        <v>-4.7841306884480739E-2</v>
      </c>
      <c r="Z286" s="72">
        <f>Z285/Y285-1</f>
        <v>-7.5980392156862697E-2</v>
      </c>
      <c r="AA286" s="24"/>
      <c r="AB286" s="72">
        <f>AB285/Z285-1</f>
        <v>-5.3050397877984046E-2</v>
      </c>
      <c r="AC286" s="72">
        <f>AC285/AB285-1</f>
        <v>-2.5210084033613467E-2</v>
      </c>
      <c r="AD286" s="72">
        <f>AD285/AC285-1</f>
        <v>2.0114942528735691E-2</v>
      </c>
      <c r="AE286" s="72">
        <f>AE285/AD285-1</f>
        <v>-3.0985915492957705E-2</v>
      </c>
      <c r="AF286" s="24"/>
      <c r="AG286" s="72">
        <f>AG285/AE285-1</f>
        <v>-7.4127906976744207E-2</v>
      </c>
      <c r="AH286" s="72">
        <f>AH285/AG285-1</f>
        <v>-2.3547880690737877E-2</v>
      </c>
      <c r="AI286" s="72">
        <f>AI285/AH285-1</f>
        <v>-1.9292604501607746E-2</v>
      </c>
      <c r="AJ286" s="72">
        <f>AJ285/AI285-1</f>
        <v>-4.2622950819672156E-2</v>
      </c>
      <c r="AK286" s="24"/>
      <c r="AL286" s="72">
        <v>-0.14554794520547942</v>
      </c>
      <c r="AM286" s="72">
        <v>6.0120240480960874E-3</v>
      </c>
      <c r="AN286" s="72">
        <v>3.7848605577689209E-2</v>
      </c>
      <c r="AO286" s="72">
        <v>-8.4452975047984657E-2</v>
      </c>
      <c r="AP286" s="24"/>
      <c r="AQ286" s="72">
        <v>-4.6121593291404639E-2</v>
      </c>
      <c r="AR286" s="72">
        <v>2.19780219780219E-3</v>
      </c>
      <c r="AS286" s="72">
        <v>2.6315789473684292E-2</v>
      </c>
      <c r="AT286" s="72">
        <v>-6.1965811965811968E-2</v>
      </c>
      <c r="AU286" s="24"/>
      <c r="AV286" s="72">
        <v>-9.1116173120728838E-3</v>
      </c>
      <c r="AW286" s="72">
        <v>3.2183908045976928E-2</v>
      </c>
      <c r="AX286" s="72">
        <v>2.6726057906458767E-2</v>
      </c>
      <c r="AY286" s="72">
        <v>-5.2060737527114931E-2</v>
      </c>
      <c r="AZ286" s="24"/>
      <c r="BA286" s="72">
        <v>-1.3729977116704761E-2</v>
      </c>
    </row>
    <row r="287" spans="1:53" ht="10.5" customHeight="1">
      <c r="A287" s="71" t="s">
        <v>8</v>
      </c>
      <c r="B287" s="24"/>
      <c r="C287" s="73"/>
      <c r="D287" s="73"/>
      <c r="E287" s="73"/>
      <c r="F287" s="73"/>
      <c r="G287" s="24">
        <f>G285/B285-1</f>
        <v>1.2084592145015005E-2</v>
      </c>
      <c r="H287" s="73"/>
      <c r="I287" s="73"/>
      <c r="J287" s="73"/>
      <c r="K287" s="73"/>
      <c r="L287" s="24">
        <f t="shared" ref="L287:R287" si="278">L285/G285-1</f>
        <v>5.8706467661691519E-2</v>
      </c>
      <c r="M287" s="73">
        <f t="shared" si="278"/>
        <v>8.5377821393523012E-2</v>
      </c>
      <c r="N287" s="73">
        <f t="shared" si="278"/>
        <v>8.5714285714285632E-2</v>
      </c>
      <c r="O287" s="73">
        <f t="shared" si="278"/>
        <v>5.2679382379654749E-2</v>
      </c>
      <c r="P287" s="73">
        <f t="shared" si="278"/>
        <v>5.4327808471454908E-2</v>
      </c>
      <c r="Q287" s="24">
        <f t="shared" si="278"/>
        <v>6.9078947368421018E-2</v>
      </c>
      <c r="R287" s="73">
        <f t="shared" si="278"/>
        <v>-0.14195298372513565</v>
      </c>
      <c r="S287" s="73">
        <f t="shared" ref="S287:Y287" si="279">S285/N285-1</f>
        <v>-0.18859649122807021</v>
      </c>
      <c r="T287" s="73">
        <f t="shared" si="279"/>
        <v>-0.21138912855910263</v>
      </c>
      <c r="U287" s="73">
        <f t="shared" si="279"/>
        <v>-0.25851528384279476</v>
      </c>
      <c r="V287" s="24">
        <f t="shared" si="279"/>
        <v>-0.20065934065934066</v>
      </c>
      <c r="W287" s="73">
        <f t="shared" si="279"/>
        <v>-0.12118018967334032</v>
      </c>
      <c r="X287" s="73">
        <f t="shared" si="279"/>
        <v>-7.351351351351354E-2</v>
      </c>
      <c r="Y287" s="73">
        <f t="shared" si="279"/>
        <v>-0.10722100656455147</v>
      </c>
      <c r="Z287" s="73">
        <f t="shared" ref="Z287:AI287" si="280">Z285/U285-1</f>
        <v>-0.11189634864546527</v>
      </c>
      <c r="AA287" s="24">
        <f t="shared" si="280"/>
        <v>-0.10338190816607096</v>
      </c>
      <c r="AB287" s="73">
        <f t="shared" si="280"/>
        <v>-0.14388489208633093</v>
      </c>
      <c r="AC287" s="73">
        <f t="shared" si="280"/>
        <v>-0.18786464410735126</v>
      </c>
      <c r="AD287" s="73">
        <f t="shared" si="280"/>
        <v>-0.12990196078431371</v>
      </c>
      <c r="AE287" s="73">
        <f t="shared" si="280"/>
        <v>-8.753315649867377E-2</v>
      </c>
      <c r="AF287" s="24">
        <f t="shared" si="280"/>
        <v>-0.13891444342226311</v>
      </c>
      <c r="AG287" s="73">
        <f t="shared" si="280"/>
        <v>-0.10784313725490191</v>
      </c>
      <c r="AH287" s="73">
        <f t="shared" si="280"/>
        <v>-0.10632183908045978</v>
      </c>
      <c r="AI287" s="73">
        <f t="shared" si="280"/>
        <v>-0.14084507042253525</v>
      </c>
      <c r="AJ287" s="73">
        <f t="shared" ref="AJ287:AS287" si="281">AJ285/AE285-1</f>
        <v>-0.15116279069767447</v>
      </c>
      <c r="AK287" s="24">
        <v>-0.12642450142450146</v>
      </c>
      <c r="AL287" s="73">
        <v>-0.21664050235478804</v>
      </c>
      <c r="AM287" s="73">
        <v>-0.19292604501607713</v>
      </c>
      <c r="AN287" s="73">
        <v>-0.14590163934426226</v>
      </c>
      <c r="AO287" s="73">
        <v>-0.18321917808219179</v>
      </c>
      <c r="AP287" s="24">
        <v>-0.18507949449653482</v>
      </c>
      <c r="AQ287" s="73">
        <v>-8.8176352705410799E-2</v>
      </c>
      <c r="AR287" s="73">
        <v>-9.1633466135458197E-2</v>
      </c>
      <c r="AS287" s="73">
        <v>-0.10172744721689064</v>
      </c>
      <c r="AT287" s="73">
        <v>-7.9664570230607912E-2</v>
      </c>
      <c r="AU287" s="24">
        <v>-9.0545272636318175E-2</v>
      </c>
      <c r="AV287" s="73">
        <v>-4.3956043956043911E-2</v>
      </c>
      <c r="AW287" s="73">
        <v>-1.5350877192982448E-2</v>
      </c>
      <c r="AX287" s="73">
        <v>-1.4957264957264904E-2</v>
      </c>
      <c r="AY287" s="73">
        <v>-4.5558086560364419E-3</v>
      </c>
      <c r="AZ287" s="24">
        <v>-1.980198019801982E-2</v>
      </c>
      <c r="BA287" s="73">
        <v>-9.1954022988506301E-3</v>
      </c>
    </row>
    <row r="288" spans="1:53">
      <c r="A288" s="69" t="s">
        <v>66</v>
      </c>
      <c r="B288" s="37">
        <v>712</v>
      </c>
      <c r="C288" s="80" t="s">
        <v>53</v>
      </c>
      <c r="D288" s="80" t="s">
        <v>53</v>
      </c>
      <c r="E288" s="80" t="s">
        <v>53</v>
      </c>
      <c r="F288" s="80" t="s">
        <v>53</v>
      </c>
      <c r="G288" s="37">
        <v>693</v>
      </c>
      <c r="H288" s="70">
        <v>246</v>
      </c>
      <c r="I288" s="70">
        <v>296</v>
      </c>
      <c r="J288" s="70">
        <v>271</v>
      </c>
      <c r="K288" s="70">
        <f>L288-J288-I288-H288</f>
        <v>307</v>
      </c>
      <c r="L288" s="37">
        <v>1120</v>
      </c>
      <c r="M288" s="70">
        <v>287</v>
      </c>
      <c r="N288" s="70">
        <v>289</v>
      </c>
      <c r="O288" s="70">
        <v>283</v>
      </c>
      <c r="P288" s="70">
        <f>Q288-O288-N288-M288</f>
        <v>323</v>
      </c>
      <c r="Q288" s="37">
        <v>1182</v>
      </c>
      <c r="R288" s="70">
        <v>501</v>
      </c>
      <c r="S288" s="70">
        <v>513</v>
      </c>
      <c r="T288" s="70">
        <v>507</v>
      </c>
      <c r="U288" s="70">
        <f>V288-T288-S288-R288</f>
        <v>390</v>
      </c>
      <c r="V288" s="37">
        <v>1911</v>
      </c>
      <c r="W288" s="70">
        <v>410</v>
      </c>
      <c r="X288" s="70">
        <v>291</v>
      </c>
      <c r="Y288" s="70">
        <v>233</v>
      </c>
      <c r="Z288" s="70">
        <f>AA288-Y288-X288-W288</f>
        <v>273</v>
      </c>
      <c r="AA288" s="37">
        <v>1207</v>
      </c>
      <c r="AB288" s="70">
        <v>250</v>
      </c>
      <c r="AC288" s="70">
        <v>219</v>
      </c>
      <c r="AD288" s="70">
        <v>237</v>
      </c>
      <c r="AE288" s="70">
        <f>AF288-AD288-AC288-AB288</f>
        <v>295</v>
      </c>
      <c r="AF288" s="37">
        <v>1001</v>
      </c>
      <c r="AG288" s="70">
        <v>280</v>
      </c>
      <c r="AH288" s="70">
        <v>221</v>
      </c>
      <c r="AI288" s="70">
        <v>214</v>
      </c>
      <c r="AJ288" s="70">
        <f>AK288-AI288-AH288-AG288</f>
        <v>251</v>
      </c>
      <c r="AK288" s="37">
        <v>966</v>
      </c>
      <c r="AL288" s="70">
        <v>228</v>
      </c>
      <c r="AM288" s="70">
        <v>219</v>
      </c>
      <c r="AN288" s="70">
        <v>208</v>
      </c>
      <c r="AO288" s="70">
        <v>236</v>
      </c>
      <c r="AP288" s="37">
        <v>891</v>
      </c>
      <c r="AQ288" s="70">
        <v>216</v>
      </c>
      <c r="AR288" s="70">
        <v>202</v>
      </c>
      <c r="AS288" s="70">
        <v>181</v>
      </c>
      <c r="AT288" s="70">
        <v>213</v>
      </c>
      <c r="AU288" s="37">
        <v>812</v>
      </c>
      <c r="AV288" s="70">
        <v>193</v>
      </c>
      <c r="AW288" s="70">
        <v>183</v>
      </c>
      <c r="AX288" s="70">
        <v>174</v>
      </c>
      <c r="AY288" s="70">
        <v>214</v>
      </c>
      <c r="AZ288" s="37">
        <v>764</v>
      </c>
      <c r="BA288" s="70">
        <v>188</v>
      </c>
    </row>
    <row r="289" spans="1:53" ht="9" customHeight="1">
      <c r="A289" s="71" t="s">
        <v>7</v>
      </c>
      <c r="B289" s="24"/>
      <c r="C289" s="72"/>
      <c r="D289" s="72"/>
      <c r="E289" s="72"/>
      <c r="F289" s="72"/>
      <c r="G289" s="24"/>
      <c r="H289" s="72"/>
      <c r="I289" s="72">
        <f>I288/H288-1</f>
        <v>0.20325203252032531</v>
      </c>
      <c r="J289" s="72">
        <f>J288/I288-1</f>
        <v>-8.4459459459459429E-2</v>
      </c>
      <c r="K289" s="72">
        <f>K288/J288-1</f>
        <v>0.13284132841328411</v>
      </c>
      <c r="L289" s="24"/>
      <c r="M289" s="72">
        <f>M288/K288-1</f>
        <v>-6.514657980456029E-2</v>
      </c>
      <c r="N289" s="72">
        <f>N288/M288-1</f>
        <v>6.9686411149825211E-3</v>
      </c>
      <c r="O289" s="72">
        <f>O288/N288-1</f>
        <v>-2.0761245674740469E-2</v>
      </c>
      <c r="P289" s="72">
        <f>P288/O288-1</f>
        <v>0.14134275618374548</v>
      </c>
      <c r="Q289" s="24"/>
      <c r="R289" s="72">
        <f>R288/P288-1</f>
        <v>0.55108359133126927</v>
      </c>
      <c r="S289" s="72">
        <f>S288/R288-1</f>
        <v>2.39520958083832E-2</v>
      </c>
      <c r="T289" s="72">
        <f>T288/S288-1</f>
        <v>-1.1695906432748537E-2</v>
      </c>
      <c r="U289" s="72">
        <f>U288/T288-1</f>
        <v>-0.23076923076923073</v>
      </c>
      <c r="V289" s="24"/>
      <c r="W289" s="72">
        <f>W288/U288-1</f>
        <v>5.1282051282051322E-2</v>
      </c>
      <c r="X289" s="72">
        <f>X288/W288-1</f>
        <v>-0.29024390243902443</v>
      </c>
      <c r="Y289" s="72">
        <f>Y288/X288-1</f>
        <v>-0.19931271477663226</v>
      </c>
      <c r="Z289" s="72">
        <f>Z288/Y288-1</f>
        <v>0.17167381974248919</v>
      </c>
      <c r="AA289" s="24"/>
      <c r="AB289" s="72">
        <f>AB288/Z288-1</f>
        <v>-8.4249084249084283E-2</v>
      </c>
      <c r="AC289" s="72">
        <f>AC288/AB288-1</f>
        <v>-0.124</v>
      </c>
      <c r="AD289" s="72">
        <f>AD288/AC288-1</f>
        <v>8.2191780821917915E-2</v>
      </c>
      <c r="AE289" s="72">
        <f>AE288/AD288-1</f>
        <v>0.24472573839662437</v>
      </c>
      <c r="AF289" s="24"/>
      <c r="AG289" s="72">
        <f>AG288/AE288-1</f>
        <v>-5.084745762711862E-2</v>
      </c>
      <c r="AH289" s="72">
        <f>AH288/AG288-1</f>
        <v>-0.21071428571428574</v>
      </c>
      <c r="AI289" s="72">
        <f>AI288/AH288-1</f>
        <v>-3.1674208144796379E-2</v>
      </c>
      <c r="AJ289" s="72">
        <f>AJ288/AI288-1</f>
        <v>0.17289719626168232</v>
      </c>
      <c r="AK289" s="24"/>
      <c r="AL289" s="72">
        <v>-9.1633466135458197E-2</v>
      </c>
      <c r="AM289" s="72">
        <v>-3.9473684210526327E-2</v>
      </c>
      <c r="AN289" s="72">
        <v>-5.0228310502283158E-2</v>
      </c>
      <c r="AO289" s="72">
        <v>0.13461538461538458</v>
      </c>
      <c r="AP289" s="24"/>
      <c r="AQ289" s="72">
        <v>-8.4745762711864403E-2</v>
      </c>
      <c r="AR289" s="72">
        <v>-6.481481481481477E-2</v>
      </c>
      <c r="AS289" s="72">
        <v>-0.10396039603960394</v>
      </c>
      <c r="AT289" s="72">
        <v>0.17679558011049723</v>
      </c>
      <c r="AU289" s="24"/>
      <c r="AV289" s="72">
        <v>-9.3896713615023497E-2</v>
      </c>
      <c r="AW289" s="72">
        <v>-5.1813471502590636E-2</v>
      </c>
      <c r="AX289" s="72">
        <v>-4.9180327868852514E-2</v>
      </c>
      <c r="AY289" s="72">
        <v>0.22988505747126431</v>
      </c>
      <c r="AZ289" s="24"/>
      <c r="BA289" s="72">
        <v>-0.12149532710280375</v>
      </c>
    </row>
    <row r="290" spans="1:53" ht="11.25" customHeight="1">
      <c r="A290" s="71" t="s">
        <v>8</v>
      </c>
      <c r="B290" s="24"/>
      <c r="C290" s="73"/>
      <c r="D290" s="73"/>
      <c r="E290" s="73"/>
      <c r="F290" s="73"/>
      <c r="G290" s="24">
        <f>G288/B288-1</f>
        <v>-2.6685393258427004E-2</v>
      </c>
      <c r="H290" s="73"/>
      <c r="I290" s="73"/>
      <c r="J290" s="73"/>
      <c r="K290" s="73"/>
      <c r="L290" s="24">
        <f t="shared" ref="L290:R290" si="282">L288/G288-1</f>
        <v>0.61616161616161613</v>
      </c>
      <c r="M290" s="73">
        <f t="shared" si="282"/>
        <v>0.16666666666666674</v>
      </c>
      <c r="N290" s="73">
        <f t="shared" si="282"/>
        <v>-2.3648648648648685E-2</v>
      </c>
      <c r="O290" s="73">
        <f t="shared" si="282"/>
        <v>4.4280442804428111E-2</v>
      </c>
      <c r="P290" s="73">
        <f t="shared" si="282"/>
        <v>5.2117263843648232E-2</v>
      </c>
      <c r="Q290" s="24">
        <f t="shared" si="282"/>
        <v>5.5357142857142883E-2</v>
      </c>
      <c r="R290" s="73">
        <f t="shared" si="282"/>
        <v>0.74564459930313598</v>
      </c>
      <c r="S290" s="73">
        <f t="shared" ref="S290:Y290" si="283">S288/N288-1</f>
        <v>0.77508650519031153</v>
      </c>
      <c r="T290" s="73">
        <f t="shared" si="283"/>
        <v>0.79151943462897534</v>
      </c>
      <c r="U290" s="73">
        <f t="shared" si="283"/>
        <v>0.20743034055727549</v>
      </c>
      <c r="V290" s="24">
        <f t="shared" si="283"/>
        <v>0.61675126903553301</v>
      </c>
      <c r="W290" s="73">
        <f t="shared" si="283"/>
        <v>-0.18163672654690621</v>
      </c>
      <c r="X290" s="73">
        <f t="shared" si="283"/>
        <v>-0.43274853801169588</v>
      </c>
      <c r="Y290" s="73">
        <f t="shared" si="283"/>
        <v>-0.54043392504930965</v>
      </c>
      <c r="Z290" s="73">
        <f t="shared" ref="Z290:AI290" si="284">Z288/U288-1</f>
        <v>-0.30000000000000004</v>
      </c>
      <c r="AA290" s="24">
        <f t="shared" si="284"/>
        <v>-0.36839351125065412</v>
      </c>
      <c r="AB290" s="73">
        <f t="shared" si="284"/>
        <v>-0.3902439024390244</v>
      </c>
      <c r="AC290" s="73">
        <f t="shared" si="284"/>
        <v>-0.24742268041237114</v>
      </c>
      <c r="AD290" s="73">
        <f t="shared" si="284"/>
        <v>1.716738197424883E-2</v>
      </c>
      <c r="AE290" s="73">
        <f t="shared" si="284"/>
        <v>8.0586080586080522E-2</v>
      </c>
      <c r="AF290" s="24">
        <f t="shared" si="284"/>
        <v>-0.17067108533554265</v>
      </c>
      <c r="AG290" s="73">
        <f t="shared" si="284"/>
        <v>0.12000000000000011</v>
      </c>
      <c r="AH290" s="73">
        <f t="shared" si="284"/>
        <v>9.1324200913243114E-3</v>
      </c>
      <c r="AI290" s="73">
        <f t="shared" si="284"/>
        <v>-9.7046413502109741E-2</v>
      </c>
      <c r="AJ290" s="73">
        <f t="shared" ref="AJ290:AS290" si="285">AJ288/AE288-1</f>
        <v>-0.14915254237288134</v>
      </c>
      <c r="AK290" s="24">
        <v>-3.4965034965035002E-2</v>
      </c>
      <c r="AL290" s="73">
        <v>-0.18571428571428572</v>
      </c>
      <c r="AM290" s="73">
        <v>-9.0497737556560764E-3</v>
      </c>
      <c r="AN290" s="73">
        <v>-2.8037383177570097E-2</v>
      </c>
      <c r="AO290" s="73">
        <v>-5.9760956175298752E-2</v>
      </c>
      <c r="AP290" s="24">
        <v>-7.7639751552795011E-2</v>
      </c>
      <c r="AQ290" s="73">
        <v>-5.2631578947368474E-2</v>
      </c>
      <c r="AR290" s="73">
        <v>-7.7625570776255759E-2</v>
      </c>
      <c r="AS290" s="73">
        <v>-0.12980769230769229</v>
      </c>
      <c r="AT290" s="73">
        <v>-9.745762711864403E-2</v>
      </c>
      <c r="AU290" s="24">
        <v>-8.8664421997755372E-2</v>
      </c>
      <c r="AV290" s="73">
        <v>-0.10648148148148151</v>
      </c>
      <c r="AW290" s="73">
        <v>-9.4059405940594032E-2</v>
      </c>
      <c r="AX290" s="73">
        <v>-3.8674033149171283E-2</v>
      </c>
      <c r="AY290" s="73">
        <v>4.6948356807512415E-3</v>
      </c>
      <c r="AZ290" s="24">
        <v>-5.9113300492610876E-2</v>
      </c>
      <c r="BA290" s="73">
        <v>-2.5906735751295318E-2</v>
      </c>
    </row>
    <row r="291" spans="1:53" ht="3" customHeight="1">
      <c r="A291" s="40"/>
      <c r="B291" s="41"/>
      <c r="C291" s="42"/>
      <c r="D291" s="42"/>
      <c r="E291" s="42"/>
      <c r="F291" s="42"/>
      <c r="G291" s="41"/>
      <c r="H291" s="42"/>
      <c r="I291" s="42"/>
      <c r="J291" s="42"/>
      <c r="K291" s="42"/>
      <c r="L291" s="41"/>
      <c r="M291" s="42"/>
      <c r="N291" s="42"/>
      <c r="O291" s="42"/>
      <c r="P291" s="42"/>
      <c r="Q291" s="41"/>
      <c r="R291" s="42"/>
      <c r="S291" s="42"/>
      <c r="T291" s="42"/>
      <c r="U291" s="42"/>
      <c r="V291" s="41"/>
      <c r="W291" s="42"/>
      <c r="X291" s="42"/>
      <c r="Y291" s="42"/>
      <c r="Z291" s="42"/>
      <c r="AA291" s="41"/>
      <c r="AB291" s="42"/>
      <c r="AC291" s="42"/>
      <c r="AD291" s="42"/>
      <c r="AE291" s="42"/>
      <c r="AF291" s="41"/>
      <c r="AG291" s="42"/>
      <c r="AH291" s="42"/>
      <c r="AI291" s="42"/>
      <c r="AJ291" s="42"/>
      <c r="AK291" s="41"/>
      <c r="AL291" s="42"/>
      <c r="AM291" s="42"/>
      <c r="AN291" s="42"/>
      <c r="AO291" s="42"/>
      <c r="AP291" s="41"/>
      <c r="AQ291" s="42"/>
      <c r="AR291" s="42"/>
      <c r="AS291" s="42"/>
      <c r="AT291" s="42"/>
      <c r="AU291" s="41"/>
      <c r="AV291" s="42"/>
      <c r="AW291" s="42"/>
      <c r="AX291" s="42"/>
      <c r="AY291" s="42"/>
      <c r="AZ291" s="41"/>
      <c r="BA291" s="42"/>
    </row>
    <row r="292" spans="1:53">
      <c r="A292" s="69" t="s">
        <v>145</v>
      </c>
      <c r="B292" s="123" t="s">
        <v>45</v>
      </c>
      <c r="C292" s="80" t="s">
        <v>53</v>
      </c>
      <c r="D292" s="80" t="s">
        <v>53</v>
      </c>
      <c r="E292" s="80" t="s">
        <v>53</v>
      </c>
      <c r="F292" s="80" t="s">
        <v>53</v>
      </c>
      <c r="G292" s="37">
        <v>2437</v>
      </c>
      <c r="H292" s="80" t="s">
        <v>53</v>
      </c>
      <c r="I292" s="80" t="s">
        <v>53</v>
      </c>
      <c r="J292" s="80" t="s">
        <v>53</v>
      </c>
      <c r="K292" s="80" t="s">
        <v>53</v>
      </c>
      <c r="L292" s="37">
        <v>2751</v>
      </c>
      <c r="M292" s="80" t="s">
        <v>53</v>
      </c>
      <c r="N292" s="80" t="s">
        <v>53</v>
      </c>
      <c r="O292" s="80" t="s">
        <v>53</v>
      </c>
      <c r="P292" s="80" t="s">
        <v>53</v>
      </c>
      <c r="Q292" s="37">
        <v>2899</v>
      </c>
      <c r="R292" s="80" t="s">
        <v>53</v>
      </c>
      <c r="S292" s="80" t="s">
        <v>53</v>
      </c>
      <c r="T292" s="80" t="s">
        <v>53</v>
      </c>
      <c r="U292" s="80" t="s">
        <v>53</v>
      </c>
      <c r="V292" s="37">
        <v>2985</v>
      </c>
      <c r="W292" s="80" t="s">
        <v>53</v>
      </c>
      <c r="X292" s="80" t="s">
        <v>53</v>
      </c>
      <c r="Y292" s="80" t="s">
        <v>53</v>
      </c>
      <c r="Z292" s="80" t="s">
        <v>53</v>
      </c>
      <c r="AA292" s="37">
        <v>2461</v>
      </c>
      <c r="AB292" s="80" t="s">
        <v>53</v>
      </c>
      <c r="AC292" s="80" t="s">
        <v>53</v>
      </c>
      <c r="AD292" s="80" t="s">
        <v>53</v>
      </c>
      <c r="AE292" s="80" t="s">
        <v>53</v>
      </c>
      <c r="AF292" s="37">
        <v>2114</v>
      </c>
      <c r="AG292" s="80" t="s">
        <v>53</v>
      </c>
      <c r="AH292" s="80" t="s">
        <v>53</v>
      </c>
      <c r="AI292" s="80" t="s">
        <v>53</v>
      </c>
      <c r="AJ292" s="80" t="s">
        <v>53</v>
      </c>
      <c r="AK292" s="37">
        <v>1930</v>
      </c>
      <c r="AL292" s="80" t="s">
        <v>53</v>
      </c>
      <c r="AM292" s="80" t="s">
        <v>53</v>
      </c>
      <c r="AN292" s="80" t="s">
        <v>53</v>
      </c>
      <c r="AO292" s="80" t="s">
        <v>53</v>
      </c>
      <c r="AP292" s="37">
        <v>1750</v>
      </c>
      <c r="AQ292" s="80" t="s">
        <v>53</v>
      </c>
      <c r="AR292" s="80" t="s">
        <v>53</v>
      </c>
      <c r="AS292" s="80" t="s">
        <v>53</v>
      </c>
      <c r="AT292" s="80" t="s">
        <v>53</v>
      </c>
      <c r="AU292" s="37">
        <v>1616</v>
      </c>
      <c r="AV292" s="80" t="s">
        <v>53</v>
      </c>
      <c r="AW292" s="80" t="s">
        <v>53</v>
      </c>
      <c r="AX292" s="80" t="s">
        <v>53</v>
      </c>
      <c r="AY292" s="80" t="s">
        <v>53</v>
      </c>
      <c r="AZ292" s="37">
        <v>1541</v>
      </c>
      <c r="BA292" s="80" t="s">
        <v>53</v>
      </c>
    </row>
    <row r="293" spans="1:53" ht="9.75" customHeight="1">
      <c r="A293" s="71" t="s">
        <v>144</v>
      </c>
      <c r="B293" s="24"/>
      <c r="C293" s="73"/>
      <c r="D293" s="73"/>
      <c r="E293" s="73"/>
      <c r="F293" s="73"/>
      <c r="G293" s="24">
        <f>G292/G282</f>
        <v>0.51708041587099507</v>
      </c>
      <c r="H293" s="73"/>
      <c r="I293" s="73"/>
      <c r="J293" s="73"/>
      <c r="K293" s="73"/>
      <c r="L293" s="24">
        <f>L292/L282</f>
        <v>0.51171875</v>
      </c>
      <c r="M293" s="73"/>
      <c r="N293" s="73"/>
      <c r="O293" s="73"/>
      <c r="P293" s="73"/>
      <c r="Q293" s="24">
        <f>Q292/Q282</f>
        <v>0.50575715282623868</v>
      </c>
      <c r="R293" s="73"/>
      <c r="S293" s="73"/>
      <c r="T293" s="73"/>
      <c r="U293" s="73"/>
      <c r="V293" s="24">
        <f>V292/V282</f>
        <v>0.53803172314347514</v>
      </c>
      <c r="W293" s="73"/>
      <c r="X293" s="73"/>
      <c r="Y293" s="73"/>
      <c r="Z293" s="73"/>
      <c r="AA293" s="24">
        <f>AA292/AA282</f>
        <v>0.55080572963294538</v>
      </c>
      <c r="AB293" s="73"/>
      <c r="AC293" s="73"/>
      <c r="AD293" s="73"/>
      <c r="AE293" s="73"/>
      <c r="AF293" s="24">
        <f>AF292/AF282</f>
        <v>0.55500131268049357</v>
      </c>
      <c r="AG293" s="73"/>
      <c r="AH293" s="73"/>
      <c r="AI293" s="73"/>
      <c r="AJ293" s="73"/>
      <c r="AK293" s="24">
        <v>0.56449254167885343</v>
      </c>
      <c r="AL293" s="73"/>
      <c r="AM293" s="73"/>
      <c r="AN293" s="73"/>
      <c r="AO293" s="73"/>
      <c r="AP293" s="24">
        <v>0.60553633217993075</v>
      </c>
      <c r="AQ293" s="73"/>
      <c r="AR293" s="73"/>
      <c r="AS293" s="73"/>
      <c r="AT293" s="73"/>
      <c r="AU293" s="24">
        <v>0.61444866920152086</v>
      </c>
      <c r="AV293" s="73"/>
      <c r="AW293" s="73"/>
      <c r="AX293" s="73"/>
      <c r="AY293" s="73"/>
      <c r="AZ293" s="24">
        <v>0.60526315789473684</v>
      </c>
      <c r="BA293" s="73"/>
    </row>
    <row r="294" spans="1:53" ht="12" customHeight="1">
      <c r="A294" s="69" t="s">
        <v>143</v>
      </c>
      <c r="B294" s="123" t="s">
        <v>45</v>
      </c>
      <c r="C294" s="80" t="s">
        <v>53</v>
      </c>
      <c r="D294" s="80" t="s">
        <v>53</v>
      </c>
      <c r="E294" s="80" t="s">
        <v>53</v>
      </c>
      <c r="F294" s="80" t="s">
        <v>53</v>
      </c>
      <c r="G294" s="37">
        <v>2276</v>
      </c>
      <c r="H294" s="80" t="s">
        <v>53</v>
      </c>
      <c r="I294" s="80" t="s">
        <v>53</v>
      </c>
      <c r="J294" s="80" t="s">
        <v>53</v>
      </c>
      <c r="K294" s="80" t="s">
        <v>53</v>
      </c>
      <c r="L294" s="37">
        <v>2625</v>
      </c>
      <c r="M294" s="80" t="s">
        <v>53</v>
      </c>
      <c r="N294" s="80" t="s">
        <v>53</v>
      </c>
      <c r="O294" s="80" t="s">
        <v>53</v>
      </c>
      <c r="P294" s="80" t="s">
        <v>53</v>
      </c>
      <c r="Q294" s="37">
        <v>2833</v>
      </c>
      <c r="R294" s="80" t="s">
        <v>53</v>
      </c>
      <c r="S294" s="80" t="s">
        <v>53</v>
      </c>
      <c r="T294" s="80" t="s">
        <v>53</v>
      </c>
      <c r="U294" s="80" t="s">
        <v>53</v>
      </c>
      <c r="V294" s="37">
        <v>2563</v>
      </c>
      <c r="W294" s="80" t="s">
        <v>53</v>
      </c>
      <c r="X294" s="80" t="s">
        <v>53</v>
      </c>
      <c r="Y294" s="80" t="s">
        <v>53</v>
      </c>
      <c r="Z294" s="80" t="s">
        <v>53</v>
      </c>
      <c r="AA294" s="37">
        <v>2007</v>
      </c>
      <c r="AB294" s="80" t="s">
        <v>53</v>
      </c>
      <c r="AC294" s="80" t="s">
        <v>53</v>
      </c>
      <c r="AD294" s="80" t="s">
        <v>53</v>
      </c>
      <c r="AE294" s="80" t="s">
        <v>53</v>
      </c>
      <c r="AF294" s="37">
        <v>1695</v>
      </c>
      <c r="AG294" s="80" t="s">
        <v>53</v>
      </c>
      <c r="AH294" s="80" t="s">
        <v>53</v>
      </c>
      <c r="AI294" s="80" t="s">
        <v>53</v>
      </c>
      <c r="AJ294" s="80" t="s">
        <v>53</v>
      </c>
      <c r="AK294" s="37">
        <v>1490</v>
      </c>
      <c r="AL294" s="80" t="s">
        <v>53</v>
      </c>
      <c r="AM294" s="80" t="s">
        <v>53</v>
      </c>
      <c r="AN294" s="80" t="s">
        <v>53</v>
      </c>
      <c r="AO294" s="80" t="s">
        <v>53</v>
      </c>
      <c r="AP294" s="37">
        <v>1140</v>
      </c>
      <c r="AQ294" s="80" t="s">
        <v>53</v>
      </c>
      <c r="AR294" s="80" t="s">
        <v>53</v>
      </c>
      <c r="AS294" s="80" t="s">
        <v>53</v>
      </c>
      <c r="AT294" s="80" t="s">
        <v>53</v>
      </c>
      <c r="AU294" s="37">
        <v>1015</v>
      </c>
      <c r="AV294" s="80" t="s">
        <v>53</v>
      </c>
      <c r="AW294" s="80" t="s">
        <v>53</v>
      </c>
      <c r="AX294" s="80" t="s">
        <v>53</v>
      </c>
      <c r="AY294" s="80" t="s">
        <v>53</v>
      </c>
      <c r="AZ294" s="37">
        <v>1005</v>
      </c>
      <c r="BA294" s="80" t="s">
        <v>53</v>
      </c>
    </row>
    <row r="295" spans="1:53" ht="9" customHeight="1">
      <c r="A295" s="71" t="s">
        <v>144</v>
      </c>
      <c r="B295" s="24"/>
      <c r="C295" s="73"/>
      <c r="D295" s="73"/>
      <c r="E295" s="73"/>
      <c r="F295" s="73"/>
      <c r="G295" s="24">
        <f>G294/G282</f>
        <v>0.48291958412900488</v>
      </c>
      <c r="H295" s="73"/>
      <c r="I295" s="73"/>
      <c r="J295" s="73"/>
      <c r="K295" s="73"/>
      <c r="L295" s="24">
        <f>L294/L282</f>
        <v>0.48828125</v>
      </c>
      <c r="M295" s="73"/>
      <c r="N295" s="73"/>
      <c r="O295" s="73"/>
      <c r="P295" s="73"/>
      <c r="Q295" s="24">
        <f>Q294/Q282</f>
        <v>0.49424284717376132</v>
      </c>
      <c r="R295" s="73"/>
      <c r="S295" s="73"/>
      <c r="T295" s="73"/>
      <c r="U295" s="73"/>
      <c r="V295" s="24">
        <f>V294/V282</f>
        <v>0.46196827685652486</v>
      </c>
      <c r="W295" s="73"/>
      <c r="X295" s="73"/>
      <c r="Y295" s="73"/>
      <c r="Z295" s="73"/>
      <c r="AA295" s="24">
        <f>AA294/AA282</f>
        <v>0.44919427036705462</v>
      </c>
      <c r="AB295" s="73"/>
      <c r="AC295" s="73"/>
      <c r="AD295" s="73"/>
      <c r="AE295" s="73"/>
      <c r="AF295" s="24">
        <f>AF294/AF282</f>
        <v>0.44499868731950643</v>
      </c>
      <c r="AG295" s="73"/>
      <c r="AH295" s="73"/>
      <c r="AI295" s="73"/>
      <c r="AJ295" s="73"/>
      <c r="AK295" s="24">
        <v>0.43579994150336354</v>
      </c>
      <c r="AL295" s="73"/>
      <c r="AM295" s="73"/>
      <c r="AN295" s="73"/>
      <c r="AO295" s="73"/>
      <c r="AP295" s="24">
        <v>0.3944636678200692</v>
      </c>
      <c r="AQ295" s="73"/>
      <c r="AR295" s="73"/>
      <c r="AS295" s="73"/>
      <c r="AT295" s="73"/>
      <c r="AU295" s="24">
        <v>0.38593155893536124</v>
      </c>
      <c r="AV295" s="73"/>
      <c r="AW295" s="73"/>
      <c r="AX295" s="73"/>
      <c r="AY295" s="73"/>
      <c r="AZ295" s="24">
        <v>0.39473684210526316</v>
      </c>
      <c r="BA295" s="73"/>
    </row>
    <row r="296" spans="1:53">
      <c r="A296" s="40" t="s">
        <v>29</v>
      </c>
      <c r="B296" s="41"/>
      <c r="C296" s="42"/>
      <c r="D296" s="42"/>
      <c r="E296" s="42"/>
      <c r="F296" s="42"/>
      <c r="G296" s="41"/>
      <c r="H296" s="42"/>
      <c r="I296" s="42"/>
      <c r="J296" s="42"/>
      <c r="K296" s="42"/>
      <c r="L296" s="41"/>
      <c r="M296" s="42"/>
      <c r="N296" s="42"/>
      <c r="O296" s="42"/>
      <c r="P296" s="42"/>
      <c r="Q296" s="41"/>
      <c r="R296" s="42"/>
      <c r="S296" s="42"/>
      <c r="T296" s="42"/>
      <c r="U296" s="42"/>
      <c r="V296" s="41"/>
      <c r="W296" s="42"/>
      <c r="X296" s="42"/>
      <c r="Y296" s="42"/>
      <c r="Z296" s="42"/>
      <c r="AA296" s="41"/>
      <c r="AB296" s="42"/>
      <c r="AC296" s="42"/>
      <c r="AD296" s="42"/>
      <c r="AE296" s="42"/>
      <c r="AF296" s="41"/>
      <c r="AG296" s="42"/>
      <c r="AH296" s="42"/>
      <c r="AI296" s="42"/>
      <c r="AJ296" s="42"/>
      <c r="AK296" s="41"/>
      <c r="AL296" s="42"/>
      <c r="AM296" s="42"/>
      <c r="AN296" s="42"/>
      <c r="AO296" s="42"/>
      <c r="AP296" s="41"/>
      <c r="AQ296" s="42"/>
      <c r="AR296" s="42"/>
      <c r="AS296" s="42"/>
      <c r="AT296" s="42"/>
      <c r="AU296" s="41"/>
      <c r="AV296" s="42"/>
      <c r="AW296" s="42"/>
      <c r="AX296" s="42"/>
      <c r="AY296" s="42"/>
      <c r="AZ296" s="41"/>
      <c r="BA296" s="42"/>
    </row>
    <row r="297" spans="1:53">
      <c r="A297" s="69" t="s">
        <v>87</v>
      </c>
      <c r="B297" s="37">
        <v>3347</v>
      </c>
      <c r="C297" s="80" t="s">
        <v>53</v>
      </c>
      <c r="D297" s="80" t="s">
        <v>53</v>
      </c>
      <c r="E297" s="80" t="s">
        <v>53</v>
      </c>
      <c r="F297" s="80" t="s">
        <v>53</v>
      </c>
      <c r="G297" s="37">
        <v>3235</v>
      </c>
      <c r="H297" s="70">
        <v>818</v>
      </c>
      <c r="I297" s="70">
        <v>899</v>
      </c>
      <c r="J297" s="70">
        <v>910</v>
      </c>
      <c r="K297" s="70">
        <f>L297-J297-I297-H297</f>
        <v>965</v>
      </c>
      <c r="L297" s="37">
        <v>3592</v>
      </c>
      <c r="M297" s="70">
        <v>923</v>
      </c>
      <c r="N297" s="70">
        <v>920</v>
      </c>
      <c r="O297" s="70">
        <v>941</v>
      </c>
      <c r="P297" s="70">
        <f>Q297-O297-N297-M297</f>
        <v>970</v>
      </c>
      <c r="Q297" s="37">
        <v>3754</v>
      </c>
      <c r="R297" s="70">
        <v>902</v>
      </c>
      <c r="S297" s="70">
        <v>927</v>
      </c>
      <c r="T297" s="70">
        <v>926</v>
      </c>
      <c r="U297" s="70">
        <f>V297-T297-S297-R297</f>
        <v>832</v>
      </c>
      <c r="V297" s="37">
        <v>3587</v>
      </c>
      <c r="W297" s="70">
        <v>831</v>
      </c>
      <c r="X297" s="70">
        <v>752</v>
      </c>
      <c r="Y297" s="70">
        <v>716</v>
      </c>
      <c r="Z297" s="70">
        <f>AA297-Y297-X297-W297</f>
        <v>741</v>
      </c>
      <c r="AA297" s="37">
        <v>3040</v>
      </c>
      <c r="AB297" s="70">
        <v>676</v>
      </c>
      <c r="AC297" s="70">
        <v>627</v>
      </c>
      <c r="AD297" s="70">
        <v>675</v>
      </c>
      <c r="AE297" s="70">
        <f>AF297-AD297-AC297-AB297</f>
        <v>733</v>
      </c>
      <c r="AF297" s="37">
        <v>2711</v>
      </c>
      <c r="AG297" s="70">
        <v>681</v>
      </c>
      <c r="AH297" s="70">
        <v>612</v>
      </c>
      <c r="AI297" s="70">
        <v>601</v>
      </c>
      <c r="AJ297" s="70">
        <f>AK297-AI297-AH297-AG297</f>
        <v>643</v>
      </c>
      <c r="AK297" s="37">
        <v>2537</v>
      </c>
      <c r="AL297" s="70">
        <v>607</v>
      </c>
      <c r="AM297" s="70">
        <v>588</v>
      </c>
      <c r="AN297" s="70">
        <v>586</v>
      </c>
      <c r="AO297" s="70">
        <v>602</v>
      </c>
      <c r="AP297" s="37">
        <v>2383</v>
      </c>
      <c r="AQ297" s="70">
        <v>579</v>
      </c>
      <c r="AR297" s="70">
        <v>560</v>
      </c>
      <c r="AS297" s="70">
        <v>536</v>
      </c>
      <c r="AT297" s="70">
        <v>573</v>
      </c>
      <c r="AU297" s="37">
        <v>2248</v>
      </c>
      <c r="AV297" s="70">
        <v>553</v>
      </c>
      <c r="AW297" s="70">
        <v>529</v>
      </c>
      <c r="AX297" s="70">
        <v>534</v>
      </c>
      <c r="AY297" s="70">
        <v>555</v>
      </c>
      <c r="AZ297" s="37">
        <v>2171</v>
      </c>
      <c r="BA297" s="70">
        <v>531</v>
      </c>
    </row>
    <row r="298" spans="1:53" ht="9.75" customHeight="1">
      <c r="A298" s="71" t="s">
        <v>7</v>
      </c>
      <c r="B298" s="24"/>
      <c r="C298" s="72"/>
      <c r="D298" s="72"/>
      <c r="E298" s="72"/>
      <c r="F298" s="72"/>
      <c r="G298" s="24"/>
      <c r="H298" s="72"/>
      <c r="I298" s="72">
        <f>I297/H297-1</f>
        <v>9.9022004889975479E-2</v>
      </c>
      <c r="J298" s="72">
        <f>J297/I297-1</f>
        <v>1.2235817575083408E-2</v>
      </c>
      <c r="K298" s="72">
        <f>K297/J297-1</f>
        <v>6.0439560439560447E-2</v>
      </c>
      <c r="L298" s="24"/>
      <c r="M298" s="72">
        <f>M297/K297-1</f>
        <v>-4.3523316062176187E-2</v>
      </c>
      <c r="N298" s="72">
        <f>N297/M297-1</f>
        <v>-3.25027085590468E-3</v>
      </c>
      <c r="O298" s="72">
        <f>O297/N297-1</f>
        <v>2.2826086956521774E-2</v>
      </c>
      <c r="P298" s="72">
        <f>P297/O297-1</f>
        <v>3.0818278427205081E-2</v>
      </c>
      <c r="Q298" s="24"/>
      <c r="R298" s="72">
        <f>R297/P297-1</f>
        <v>-7.0103092783505128E-2</v>
      </c>
      <c r="S298" s="72">
        <f>S297/R297-1</f>
        <v>2.7716186252771724E-2</v>
      </c>
      <c r="T298" s="72">
        <f>T297/S297-1</f>
        <v>-1.0787486515642097E-3</v>
      </c>
      <c r="U298" s="72">
        <f>U297/T297-1</f>
        <v>-0.10151187904967607</v>
      </c>
      <c r="V298" s="24"/>
      <c r="W298" s="72">
        <f>W297/U297-1</f>
        <v>-1.2019230769231282E-3</v>
      </c>
      <c r="X298" s="72">
        <f>X297/W297-1</f>
        <v>-9.5066185318892882E-2</v>
      </c>
      <c r="Y298" s="72">
        <f>Y297/X297-1</f>
        <v>-4.7872340425531901E-2</v>
      </c>
      <c r="Z298" s="72">
        <f>Z297/Y297-1</f>
        <v>3.4916201117318524E-2</v>
      </c>
      <c r="AA298" s="24"/>
      <c r="AB298" s="72">
        <f>AB297/Z297-1</f>
        <v>-8.7719298245614086E-2</v>
      </c>
      <c r="AC298" s="72">
        <f>AC297/AB297-1</f>
        <v>-7.2485207100591698E-2</v>
      </c>
      <c r="AD298" s="72">
        <f>AD297/AC297-1</f>
        <v>7.6555023923444931E-2</v>
      </c>
      <c r="AE298" s="72">
        <f>AE297/AD297-1</f>
        <v>8.5925925925925961E-2</v>
      </c>
      <c r="AF298" s="24"/>
      <c r="AG298" s="72">
        <f>AG297/AE297-1</f>
        <v>-7.0941336971350633E-2</v>
      </c>
      <c r="AH298" s="72">
        <f>AH297/AG297-1</f>
        <v>-0.10132158590308371</v>
      </c>
      <c r="AI298" s="72">
        <f>AI297/AH297-1</f>
        <v>-1.7973856209150374E-2</v>
      </c>
      <c r="AJ298" s="72">
        <f>AJ297/AI297-1</f>
        <v>6.9883527454242866E-2</v>
      </c>
      <c r="AK298" s="24"/>
      <c r="AL298" s="72">
        <v>-5.5987558320373276E-2</v>
      </c>
      <c r="AM298" s="72">
        <v>-3.1301482701812211E-2</v>
      </c>
      <c r="AN298" s="72">
        <v>-3.4013605442176909E-3</v>
      </c>
      <c r="AO298" s="72">
        <v>2.7303754266211566E-2</v>
      </c>
      <c r="AP298" s="24"/>
      <c r="AQ298" s="72">
        <v>-3.8205980066445155E-2</v>
      </c>
      <c r="AR298" s="72">
        <v>-3.2815198618307395E-2</v>
      </c>
      <c r="AS298" s="72">
        <v>-4.2857142857142816E-2</v>
      </c>
      <c r="AT298" s="72">
        <v>6.9029850746268551E-2</v>
      </c>
      <c r="AU298" s="24"/>
      <c r="AV298" s="72">
        <v>-3.4904013961605584E-2</v>
      </c>
      <c r="AW298" s="72">
        <v>-4.339963833634719E-2</v>
      </c>
      <c r="AX298" s="72">
        <v>9.4517958412099201E-3</v>
      </c>
      <c r="AY298" s="72">
        <v>3.9325842696629199E-2</v>
      </c>
      <c r="AZ298" s="24"/>
      <c r="BA298" s="72">
        <v>-4.3243243243243246E-2</v>
      </c>
    </row>
    <row r="299" spans="1:53" ht="9.75" customHeight="1">
      <c r="A299" s="71" t="s">
        <v>8</v>
      </c>
      <c r="B299" s="24"/>
      <c r="C299" s="73"/>
      <c r="D299" s="73"/>
      <c r="E299" s="73"/>
      <c r="F299" s="73"/>
      <c r="G299" s="24">
        <f>G297/B297-1</f>
        <v>-3.3462802509710232E-2</v>
      </c>
      <c r="H299" s="73"/>
      <c r="I299" s="73"/>
      <c r="J299" s="73"/>
      <c r="K299" s="73"/>
      <c r="L299" s="24">
        <f t="shared" ref="L299:AD299" si="286">L297/G297-1</f>
        <v>0.11035548686244212</v>
      </c>
      <c r="M299" s="73">
        <f t="shared" si="286"/>
        <v>0.12836185819070911</v>
      </c>
      <c r="N299" s="73">
        <f t="shared" si="286"/>
        <v>2.3359288097886566E-2</v>
      </c>
      <c r="O299" s="73">
        <f t="shared" si="286"/>
        <v>3.4065934065934167E-2</v>
      </c>
      <c r="P299" s="73">
        <f t="shared" si="286"/>
        <v>5.1813471502590858E-3</v>
      </c>
      <c r="Q299" s="24">
        <f t="shared" si="286"/>
        <v>4.5100222717149308E-2</v>
      </c>
      <c r="R299" s="73">
        <f t="shared" si="286"/>
        <v>-2.2751895991332649E-2</v>
      </c>
      <c r="S299" s="73">
        <f t="shared" si="286"/>
        <v>7.6086956521739246E-3</v>
      </c>
      <c r="T299" s="73">
        <f t="shared" si="286"/>
        <v>-1.5940488841657774E-2</v>
      </c>
      <c r="U299" s="73">
        <f t="shared" si="286"/>
        <v>-0.14226804123711345</v>
      </c>
      <c r="V299" s="24">
        <f t="shared" si="286"/>
        <v>-4.4485881726158749E-2</v>
      </c>
      <c r="W299" s="73">
        <f t="shared" si="286"/>
        <v>-7.8713968957871416E-2</v>
      </c>
      <c r="X299" s="73">
        <f t="shared" si="286"/>
        <v>-0.18878101402373249</v>
      </c>
      <c r="Y299" s="73">
        <f t="shared" si="286"/>
        <v>-0.22678185745140389</v>
      </c>
      <c r="Z299" s="73">
        <f t="shared" si="286"/>
        <v>-0.109375</v>
      </c>
      <c r="AA299" s="24">
        <f t="shared" si="286"/>
        <v>-0.15249512127125731</v>
      </c>
      <c r="AB299" s="73">
        <f t="shared" si="286"/>
        <v>-0.18652226233453673</v>
      </c>
      <c r="AC299" s="73">
        <f t="shared" si="286"/>
        <v>-0.16622340425531912</v>
      </c>
      <c r="AD299" s="73">
        <f t="shared" si="286"/>
        <v>-5.7262569832402188E-2</v>
      </c>
      <c r="AE299" s="73">
        <f t="shared" ref="AE299:AN299" si="287">AE297/Z297-1</f>
        <v>-1.0796221322537103E-2</v>
      </c>
      <c r="AF299" s="24">
        <f t="shared" si="287"/>
        <v>-0.10822368421052631</v>
      </c>
      <c r="AG299" s="73">
        <f t="shared" si="287"/>
        <v>7.3964497041421051E-3</v>
      </c>
      <c r="AH299" s="73">
        <f t="shared" si="287"/>
        <v>-2.3923444976076569E-2</v>
      </c>
      <c r="AI299" s="73">
        <f t="shared" si="287"/>
        <v>-0.10962962962962963</v>
      </c>
      <c r="AJ299" s="73">
        <f t="shared" si="287"/>
        <v>-0.12278308321964526</v>
      </c>
      <c r="AK299" s="24">
        <v>-6.4182958317963834E-2</v>
      </c>
      <c r="AL299" s="73">
        <v>-0.10866372980910421</v>
      </c>
      <c r="AM299" s="73">
        <v>-3.9215686274509776E-2</v>
      </c>
      <c r="AN299" s="73">
        <v>-2.4958402662229595E-2</v>
      </c>
      <c r="AO299" s="73">
        <v>-6.3763608087091805E-2</v>
      </c>
      <c r="AP299" s="24">
        <v>-6.0701616081986653E-2</v>
      </c>
      <c r="AQ299" s="73">
        <v>-4.6128500823723217E-2</v>
      </c>
      <c r="AR299" s="73">
        <v>-4.7619047619047672E-2</v>
      </c>
      <c r="AS299" s="73">
        <v>-8.5324232081911311E-2</v>
      </c>
      <c r="AT299" s="73">
        <v>-4.8172757475083094E-2</v>
      </c>
      <c r="AU299" s="24">
        <v>-5.6651279899286644E-2</v>
      </c>
      <c r="AV299" s="73">
        <v>-4.4905008635578558E-2</v>
      </c>
      <c r="AW299" s="73">
        <v>-5.5357142857142883E-2</v>
      </c>
      <c r="AX299" s="73">
        <v>-3.7313432835820448E-3</v>
      </c>
      <c r="AY299" s="73">
        <v>-3.1413612565445059E-2</v>
      </c>
      <c r="AZ299" s="24">
        <v>-3.4252669039145922E-2</v>
      </c>
      <c r="BA299" s="73">
        <v>-3.9783001808318286E-2</v>
      </c>
    </row>
    <row r="300" spans="1:53">
      <c r="A300" s="69" t="s">
        <v>108</v>
      </c>
      <c r="B300" s="37">
        <v>1337</v>
      </c>
      <c r="C300" s="80" t="s">
        <v>53</v>
      </c>
      <c r="D300" s="80" t="s">
        <v>53</v>
      </c>
      <c r="E300" s="80" t="s">
        <v>53</v>
      </c>
      <c r="F300" s="80" t="s">
        <v>53</v>
      </c>
      <c r="G300" s="37">
        <v>1478</v>
      </c>
      <c r="H300" s="70">
        <v>447</v>
      </c>
      <c r="I300" s="70">
        <v>447</v>
      </c>
      <c r="J300" s="70">
        <v>462</v>
      </c>
      <c r="K300" s="70">
        <f>L300-J300-I300-H300</f>
        <v>428</v>
      </c>
      <c r="L300" s="37">
        <v>1784</v>
      </c>
      <c r="M300" s="70">
        <v>470</v>
      </c>
      <c r="N300" s="70">
        <v>509</v>
      </c>
      <c r="O300" s="70">
        <v>501</v>
      </c>
      <c r="P300" s="70">
        <f>Q300-O300-N300-M300</f>
        <v>498</v>
      </c>
      <c r="Q300" s="37">
        <v>1978</v>
      </c>
      <c r="R300" s="70">
        <v>548</v>
      </c>
      <c r="S300" s="70">
        <v>511</v>
      </c>
      <c r="T300" s="70">
        <v>495</v>
      </c>
      <c r="U300" s="70">
        <f>V300-T300-S300-R300</f>
        <v>407</v>
      </c>
      <c r="V300" s="37">
        <v>1961</v>
      </c>
      <c r="W300" s="70">
        <v>413</v>
      </c>
      <c r="X300" s="70">
        <v>396</v>
      </c>
      <c r="Y300" s="70">
        <v>333</v>
      </c>
      <c r="Z300" s="70">
        <f>AA300-Y300-X300-W300</f>
        <v>286</v>
      </c>
      <c r="AA300" s="37">
        <v>1428</v>
      </c>
      <c r="AB300" s="70">
        <f>AB282-AB297</f>
        <v>288</v>
      </c>
      <c r="AC300" s="70">
        <f>AC282-AC297</f>
        <v>288</v>
      </c>
      <c r="AD300" s="70">
        <f>AD282-AD297</f>
        <v>272</v>
      </c>
      <c r="AE300" s="70">
        <f>AF300-AD300-AC300-AB300</f>
        <v>250</v>
      </c>
      <c r="AF300" s="37">
        <f>AF282-AF297</f>
        <v>1098</v>
      </c>
      <c r="AG300" s="70">
        <v>236</v>
      </c>
      <c r="AH300" s="70">
        <v>231</v>
      </c>
      <c r="AI300" s="70">
        <v>223</v>
      </c>
      <c r="AJ300" s="70">
        <f>AK300-AI300-AH300-AG300</f>
        <v>192</v>
      </c>
      <c r="AK300" s="37">
        <v>882</v>
      </c>
      <c r="AL300" s="70">
        <v>120</v>
      </c>
      <c r="AM300" s="70">
        <v>133</v>
      </c>
      <c r="AN300" s="70">
        <v>143</v>
      </c>
      <c r="AO300" s="70">
        <v>111</v>
      </c>
      <c r="AP300" s="37">
        <v>507</v>
      </c>
      <c r="AQ300" s="70">
        <v>92</v>
      </c>
      <c r="AR300" s="70">
        <v>98</v>
      </c>
      <c r="AS300" s="70">
        <v>113</v>
      </c>
      <c r="AT300" s="70">
        <v>79</v>
      </c>
      <c r="AU300" s="37">
        <v>382</v>
      </c>
      <c r="AV300" s="70">
        <v>75</v>
      </c>
      <c r="AW300" s="70">
        <v>103</v>
      </c>
      <c r="AX300" s="70">
        <v>101</v>
      </c>
      <c r="AY300" s="70">
        <v>96</v>
      </c>
      <c r="AZ300" s="37">
        <v>375</v>
      </c>
      <c r="BA300" s="70">
        <v>88</v>
      </c>
    </row>
    <row r="301" spans="1:53" ht="10.5" customHeight="1">
      <c r="A301" s="71" t="s">
        <v>7</v>
      </c>
      <c r="B301" s="24"/>
      <c r="C301" s="72"/>
      <c r="D301" s="72"/>
      <c r="E301" s="72"/>
      <c r="F301" s="72"/>
      <c r="G301" s="24"/>
      <c r="H301" s="72"/>
      <c r="I301" s="72">
        <f>I300/H300-1</f>
        <v>0</v>
      </c>
      <c r="J301" s="72">
        <f>J300/I300-1</f>
        <v>3.3557046979865834E-2</v>
      </c>
      <c r="K301" s="72">
        <f>K300/J300-1</f>
        <v>-7.3593073593073544E-2</v>
      </c>
      <c r="L301" s="24"/>
      <c r="M301" s="72">
        <f>M300/K300-1</f>
        <v>9.8130841121495394E-2</v>
      </c>
      <c r="N301" s="72">
        <f>N300/M300-1</f>
        <v>8.2978723404255383E-2</v>
      </c>
      <c r="O301" s="72">
        <f>O300/N300-1</f>
        <v>-1.5717092337917515E-2</v>
      </c>
      <c r="P301" s="72">
        <f>P300/O300-1</f>
        <v>-5.9880239520958556E-3</v>
      </c>
      <c r="Q301" s="24"/>
      <c r="R301" s="72">
        <f>R300/P300-1</f>
        <v>0.10040160642570273</v>
      </c>
      <c r="S301" s="72">
        <f>S300/R300-1</f>
        <v>-6.7518248175182483E-2</v>
      </c>
      <c r="T301" s="72">
        <f>T300/S300-1</f>
        <v>-3.131115459882583E-2</v>
      </c>
      <c r="U301" s="72">
        <f>U300/T300-1</f>
        <v>-0.17777777777777781</v>
      </c>
      <c r="V301" s="24"/>
      <c r="W301" s="72">
        <f>W300/U300-1</f>
        <v>1.4742014742014753E-2</v>
      </c>
      <c r="X301" s="72">
        <f>X300/W300-1</f>
        <v>-4.1162227602905554E-2</v>
      </c>
      <c r="Y301" s="72">
        <f>Y300/X300-1</f>
        <v>-0.15909090909090906</v>
      </c>
      <c r="Z301" s="72">
        <f>Z300/Y300-1</f>
        <v>-0.14114114114114118</v>
      </c>
      <c r="AA301" s="24"/>
      <c r="AB301" s="72">
        <f>AB300/Z300-1</f>
        <v>6.9930069930070893E-3</v>
      </c>
      <c r="AC301" s="72">
        <f>AC300/AB300-1</f>
        <v>0</v>
      </c>
      <c r="AD301" s="72">
        <f>AD300/AC300-1</f>
        <v>-5.555555555555558E-2</v>
      </c>
      <c r="AE301" s="72">
        <f>AE300/AD300-1</f>
        <v>-8.0882352941176516E-2</v>
      </c>
      <c r="AF301" s="24"/>
      <c r="AG301" s="72">
        <f>AG300/AE300-1</f>
        <v>-5.600000000000005E-2</v>
      </c>
      <c r="AH301" s="72">
        <f>AH300/AG300-1</f>
        <v>-2.1186440677966156E-2</v>
      </c>
      <c r="AI301" s="72">
        <f>AI300/AH300-1</f>
        <v>-3.4632034632034681E-2</v>
      </c>
      <c r="AJ301" s="72">
        <f>AJ300/AI300-1</f>
        <v>-0.13901345291479816</v>
      </c>
      <c r="AK301" s="24"/>
      <c r="AL301" s="72">
        <v>-0.375</v>
      </c>
      <c r="AM301" s="72">
        <v>0.10833333333333339</v>
      </c>
      <c r="AN301" s="72">
        <v>7.5187969924812137E-2</v>
      </c>
      <c r="AO301" s="72">
        <v>-0.22377622377622375</v>
      </c>
      <c r="AP301" s="24"/>
      <c r="AQ301" s="72">
        <v>-0.1711711711711712</v>
      </c>
      <c r="AR301" s="72">
        <v>6.5217391304347894E-2</v>
      </c>
      <c r="AS301" s="72">
        <v>0.15306122448979598</v>
      </c>
      <c r="AT301" s="72">
        <v>-0.30088495575221241</v>
      </c>
      <c r="AU301" s="24"/>
      <c r="AV301" s="72">
        <v>-5.0632911392405111E-2</v>
      </c>
      <c r="AW301" s="72">
        <v>0.37333333333333329</v>
      </c>
      <c r="AX301" s="72">
        <v>-1.9417475728155331E-2</v>
      </c>
      <c r="AY301" s="72">
        <v>-4.9504950495049549E-2</v>
      </c>
      <c r="AZ301" s="24"/>
      <c r="BA301" s="72">
        <v>-8.333333333333337E-2</v>
      </c>
    </row>
    <row r="302" spans="1:53" ht="9.75" customHeight="1">
      <c r="A302" s="71" t="s">
        <v>8</v>
      </c>
      <c r="B302" s="24"/>
      <c r="C302" s="73"/>
      <c r="D302" s="73"/>
      <c r="E302" s="73"/>
      <c r="F302" s="73"/>
      <c r="G302" s="24">
        <f>G300/B300-1</f>
        <v>0.10545998504113685</v>
      </c>
      <c r="H302" s="73"/>
      <c r="I302" s="73"/>
      <c r="J302" s="73"/>
      <c r="K302" s="73"/>
      <c r="L302" s="24">
        <f t="shared" ref="L302:AD302" si="288">L300/G300-1</f>
        <v>0.20703653585926918</v>
      </c>
      <c r="M302" s="73">
        <f t="shared" si="288"/>
        <v>5.1454138702460961E-2</v>
      </c>
      <c r="N302" s="73">
        <f t="shared" si="288"/>
        <v>0.13870246085011195</v>
      </c>
      <c r="O302" s="73">
        <f t="shared" si="288"/>
        <v>8.4415584415584499E-2</v>
      </c>
      <c r="P302" s="73">
        <f t="shared" si="288"/>
        <v>0.16355140186915884</v>
      </c>
      <c r="Q302" s="24">
        <f t="shared" si="288"/>
        <v>0.10874439461883401</v>
      </c>
      <c r="R302" s="73">
        <f t="shared" si="288"/>
        <v>0.16595744680851054</v>
      </c>
      <c r="S302" s="73">
        <f t="shared" si="288"/>
        <v>3.9292730844793233E-3</v>
      </c>
      <c r="T302" s="73">
        <f t="shared" si="288"/>
        <v>-1.19760479041916E-2</v>
      </c>
      <c r="U302" s="73">
        <f t="shared" si="288"/>
        <v>-0.18273092369477917</v>
      </c>
      <c r="V302" s="24">
        <f t="shared" si="288"/>
        <v>-8.5945399393326793E-3</v>
      </c>
      <c r="W302" s="73">
        <f t="shared" si="288"/>
        <v>-0.2463503649635036</v>
      </c>
      <c r="X302" s="73">
        <f t="shared" si="288"/>
        <v>-0.22504892367906071</v>
      </c>
      <c r="Y302" s="73">
        <f t="shared" si="288"/>
        <v>-0.32727272727272727</v>
      </c>
      <c r="Z302" s="73">
        <f t="shared" si="288"/>
        <v>-0.29729729729729726</v>
      </c>
      <c r="AA302" s="24">
        <f t="shared" si="288"/>
        <v>-0.27180010198878124</v>
      </c>
      <c r="AB302" s="73">
        <f t="shared" si="288"/>
        <v>-0.30266343825665865</v>
      </c>
      <c r="AC302" s="73">
        <f t="shared" si="288"/>
        <v>-0.27272727272727271</v>
      </c>
      <c r="AD302" s="73">
        <f t="shared" si="288"/>
        <v>-0.18318318318318316</v>
      </c>
      <c r="AE302" s="73">
        <f t="shared" ref="AE302:AN302" si="289">AE300/Z300-1</f>
        <v>-0.12587412587412583</v>
      </c>
      <c r="AF302" s="24">
        <f t="shared" si="289"/>
        <v>-0.23109243697478987</v>
      </c>
      <c r="AG302" s="73">
        <f t="shared" si="289"/>
        <v>-0.18055555555555558</v>
      </c>
      <c r="AH302" s="73">
        <f t="shared" si="289"/>
        <v>-0.19791666666666663</v>
      </c>
      <c r="AI302" s="73">
        <f t="shared" si="289"/>
        <v>-0.18014705882352944</v>
      </c>
      <c r="AJ302" s="73">
        <f t="shared" si="289"/>
        <v>-0.23199999999999998</v>
      </c>
      <c r="AK302" s="24">
        <v>-0.19672131147540983</v>
      </c>
      <c r="AL302" s="73">
        <v>-0.49152542372881358</v>
      </c>
      <c r="AM302" s="73">
        <v>-0.4242424242424242</v>
      </c>
      <c r="AN302" s="73">
        <v>-0.35874439461883412</v>
      </c>
      <c r="AO302" s="73">
        <v>-0.421875</v>
      </c>
      <c r="AP302" s="24">
        <v>-0.42517006802721091</v>
      </c>
      <c r="AQ302" s="73">
        <v>-0.23333333333333328</v>
      </c>
      <c r="AR302" s="73">
        <v>-0.26315789473684215</v>
      </c>
      <c r="AS302" s="73">
        <v>-0.20979020979020979</v>
      </c>
      <c r="AT302" s="73">
        <v>-0.28828828828828834</v>
      </c>
      <c r="AU302" s="24">
        <v>-0.24654832347140043</v>
      </c>
      <c r="AV302" s="73">
        <v>-0.18478260869565222</v>
      </c>
      <c r="AW302" s="73">
        <v>5.1020408163265252E-2</v>
      </c>
      <c r="AX302" s="73">
        <v>-0.10619469026548678</v>
      </c>
      <c r="AY302" s="73">
        <v>0.21518987341772156</v>
      </c>
      <c r="AZ302" s="24">
        <v>-1.8324607329842979E-2</v>
      </c>
      <c r="BA302" s="73">
        <v>0.17333333333333334</v>
      </c>
    </row>
    <row r="303" spans="1:53">
      <c r="A303" s="69" t="s">
        <v>88</v>
      </c>
      <c r="B303" s="37">
        <v>430</v>
      </c>
      <c r="C303" s="80" t="s">
        <v>53</v>
      </c>
      <c r="D303" s="80" t="s">
        <v>53</v>
      </c>
      <c r="E303" s="80" t="s">
        <v>53</v>
      </c>
      <c r="F303" s="80" t="s">
        <v>53</v>
      </c>
      <c r="G303" s="37">
        <v>405</v>
      </c>
      <c r="H303" s="70">
        <v>113</v>
      </c>
      <c r="I303" s="70">
        <v>96</v>
      </c>
      <c r="J303" s="70">
        <v>116</v>
      </c>
      <c r="K303" s="70">
        <f>L303-J303-I303-H303</f>
        <v>136</v>
      </c>
      <c r="L303" s="37">
        <v>461</v>
      </c>
      <c r="M303" s="70">
        <v>119</v>
      </c>
      <c r="N303" s="70">
        <v>117</v>
      </c>
      <c r="O303" s="70">
        <v>115</v>
      </c>
      <c r="P303" s="70">
        <f>Q303-O303-N303-M303</f>
        <v>117</v>
      </c>
      <c r="Q303" s="37">
        <v>468</v>
      </c>
      <c r="R303" s="70">
        <v>117</v>
      </c>
      <c r="S303" s="70">
        <v>125</v>
      </c>
      <c r="T303" s="70">
        <v>125</v>
      </c>
      <c r="U303" s="70">
        <f>V303-T303-S303-R303</f>
        <v>113</v>
      </c>
      <c r="V303" s="37">
        <v>480</v>
      </c>
      <c r="W303" s="70">
        <v>116</v>
      </c>
      <c r="X303" s="70">
        <v>111</v>
      </c>
      <c r="Y303" s="70">
        <v>105</v>
      </c>
      <c r="Z303" s="70">
        <f>AA303-Y303-X303-W303</f>
        <v>90</v>
      </c>
      <c r="AA303" s="37">
        <v>422</v>
      </c>
      <c r="AB303" s="70">
        <v>86</v>
      </c>
      <c r="AC303" s="70">
        <v>75</v>
      </c>
      <c r="AD303" s="70">
        <v>69</v>
      </c>
      <c r="AE303" s="70">
        <f>AF303-AD303-AC303-AB303</f>
        <v>90</v>
      </c>
      <c r="AF303" s="37">
        <v>320</v>
      </c>
      <c r="AG303" s="70">
        <v>83</v>
      </c>
      <c r="AH303" s="70">
        <v>76</v>
      </c>
      <c r="AI303" s="70">
        <v>76</v>
      </c>
      <c r="AJ303" s="70">
        <f>AK303-AI303-AH303-AG303</f>
        <v>74</v>
      </c>
      <c r="AK303" s="37">
        <v>309</v>
      </c>
      <c r="AL303" s="70">
        <v>63</v>
      </c>
      <c r="AM303" s="70">
        <v>57</v>
      </c>
      <c r="AN303" s="70">
        <v>59</v>
      </c>
      <c r="AO303" s="70">
        <v>68</v>
      </c>
      <c r="AP303" s="37">
        <v>247</v>
      </c>
      <c r="AQ303" s="70">
        <v>66</v>
      </c>
      <c r="AR303" s="70">
        <v>68</v>
      </c>
      <c r="AS303" s="70">
        <v>65</v>
      </c>
      <c r="AT303" s="70">
        <v>61</v>
      </c>
      <c r="AU303" s="37">
        <v>260</v>
      </c>
      <c r="AV303" s="70">
        <v>48</v>
      </c>
      <c r="AW303" s="70">
        <v>51</v>
      </c>
      <c r="AX303" s="70">
        <v>58</v>
      </c>
      <c r="AY303" s="70">
        <v>58</v>
      </c>
      <c r="AZ303" s="37">
        <v>215</v>
      </c>
      <c r="BA303" s="70">
        <v>62</v>
      </c>
    </row>
    <row r="304" spans="1:53">
      <c r="A304" s="71" t="s">
        <v>7</v>
      </c>
      <c r="B304" s="24"/>
      <c r="C304" s="72"/>
      <c r="D304" s="72"/>
      <c r="E304" s="72"/>
      <c r="F304" s="72"/>
      <c r="G304" s="24"/>
      <c r="H304" s="72"/>
      <c r="I304" s="72">
        <f>I303/H303-1</f>
        <v>-0.15044247787610621</v>
      </c>
      <c r="J304" s="72">
        <f>J303/I303-1</f>
        <v>0.20833333333333326</v>
      </c>
      <c r="K304" s="72">
        <f>K303/J303-1</f>
        <v>0.17241379310344818</v>
      </c>
      <c r="L304" s="24"/>
      <c r="M304" s="72">
        <f>M303/K303-1</f>
        <v>-0.125</v>
      </c>
      <c r="N304" s="72">
        <f>N303/M303-1</f>
        <v>-1.6806722689075682E-2</v>
      </c>
      <c r="O304" s="72">
        <f>O303/N303-1</f>
        <v>-1.7094017094017144E-2</v>
      </c>
      <c r="P304" s="72">
        <f>P303/O303-1</f>
        <v>1.7391304347825987E-2</v>
      </c>
      <c r="Q304" s="24"/>
      <c r="R304" s="72">
        <f>R303/P303-1</f>
        <v>0</v>
      </c>
      <c r="S304" s="72">
        <f>S303/R303-1</f>
        <v>6.8376068376068355E-2</v>
      </c>
      <c r="T304" s="72">
        <f>T303/S303-1</f>
        <v>0</v>
      </c>
      <c r="U304" s="72">
        <f>U303/T303-1</f>
        <v>-9.5999999999999974E-2</v>
      </c>
      <c r="V304" s="24"/>
      <c r="W304" s="72">
        <f>W303/U303-1</f>
        <v>2.6548672566371723E-2</v>
      </c>
      <c r="X304" s="72">
        <f>X303/W303-1</f>
        <v>-4.31034482758621E-2</v>
      </c>
      <c r="Y304" s="72">
        <f>Y303/X303-1</f>
        <v>-5.4054054054054057E-2</v>
      </c>
      <c r="Z304" s="72">
        <f>Z303/Y303-1</f>
        <v>-0.1428571428571429</v>
      </c>
      <c r="AA304" s="24"/>
      <c r="AB304" s="72">
        <f>AB303/Z303-1</f>
        <v>-4.4444444444444398E-2</v>
      </c>
      <c r="AC304" s="72">
        <f>AC303/AB303-1</f>
        <v>-0.12790697674418605</v>
      </c>
      <c r="AD304" s="72">
        <f>AD303/AC303-1</f>
        <v>-7.999999999999996E-2</v>
      </c>
      <c r="AE304" s="72">
        <f>AE303/AD303-1</f>
        <v>0.30434782608695654</v>
      </c>
      <c r="AF304" s="24"/>
      <c r="AG304" s="72">
        <f>AG303/AE303-1</f>
        <v>-7.7777777777777724E-2</v>
      </c>
      <c r="AH304" s="72">
        <f>AH303/AG303-1</f>
        <v>-8.4337349397590411E-2</v>
      </c>
      <c r="AI304" s="72">
        <f>AI303/AH303-1</f>
        <v>0</v>
      </c>
      <c r="AJ304" s="72">
        <f>AJ303/AI303-1</f>
        <v>-2.6315789473684181E-2</v>
      </c>
      <c r="AK304" s="24"/>
      <c r="AL304" s="72">
        <v>-0.14864864864864868</v>
      </c>
      <c r="AM304" s="72">
        <v>-9.5238095238095233E-2</v>
      </c>
      <c r="AN304" s="72">
        <v>3.5087719298245723E-2</v>
      </c>
      <c r="AO304" s="72">
        <v>0.15254237288135597</v>
      </c>
      <c r="AP304" s="24"/>
      <c r="AQ304" s="72">
        <v>-2.9411764705882359E-2</v>
      </c>
      <c r="AR304" s="72">
        <v>3.0303030303030276E-2</v>
      </c>
      <c r="AS304" s="72">
        <v>-4.4117647058823484E-2</v>
      </c>
      <c r="AT304" s="72">
        <v>-6.1538461538461542E-2</v>
      </c>
      <c r="AU304" s="24"/>
      <c r="AV304" s="72">
        <v>-0.21311475409836067</v>
      </c>
      <c r="AW304" s="72">
        <v>6.25E-2</v>
      </c>
      <c r="AX304" s="72">
        <v>0.13725490196078427</v>
      </c>
      <c r="AY304" s="72">
        <v>0</v>
      </c>
      <c r="AZ304" s="24"/>
      <c r="BA304" s="72">
        <v>6.8965517241379226E-2</v>
      </c>
    </row>
    <row r="305" spans="1:53">
      <c r="A305" s="71" t="s">
        <v>8</v>
      </c>
      <c r="B305" s="24"/>
      <c r="C305" s="73"/>
      <c r="D305" s="73"/>
      <c r="E305" s="73"/>
      <c r="F305" s="73"/>
      <c r="G305" s="24">
        <f>G303/B303-1</f>
        <v>-5.8139534883720922E-2</v>
      </c>
      <c r="H305" s="73"/>
      <c r="I305" s="73"/>
      <c r="J305" s="73"/>
      <c r="K305" s="73"/>
      <c r="L305" s="24">
        <f t="shared" ref="L305:AD305" si="290">L303/G303-1</f>
        <v>0.13827160493827151</v>
      </c>
      <c r="M305" s="73">
        <f t="shared" si="290"/>
        <v>5.3097345132743445E-2</v>
      </c>
      <c r="N305" s="73">
        <f t="shared" si="290"/>
        <v>0.21875</v>
      </c>
      <c r="O305" s="73">
        <f t="shared" si="290"/>
        <v>-8.6206896551723755E-3</v>
      </c>
      <c r="P305" s="73">
        <f t="shared" si="290"/>
        <v>-0.13970588235294112</v>
      </c>
      <c r="Q305" s="24">
        <f t="shared" si="290"/>
        <v>1.5184381778741818E-2</v>
      </c>
      <c r="R305" s="73">
        <f t="shared" si="290"/>
        <v>-1.6806722689075682E-2</v>
      </c>
      <c r="S305" s="73">
        <f t="shared" si="290"/>
        <v>6.8376068376068355E-2</v>
      </c>
      <c r="T305" s="73">
        <f t="shared" si="290"/>
        <v>8.6956521739130377E-2</v>
      </c>
      <c r="U305" s="73">
        <f t="shared" si="290"/>
        <v>-3.4188034188034178E-2</v>
      </c>
      <c r="V305" s="24">
        <f t="shared" si="290"/>
        <v>2.564102564102555E-2</v>
      </c>
      <c r="W305" s="73">
        <f t="shared" si="290"/>
        <v>-8.5470085470085166E-3</v>
      </c>
      <c r="X305" s="73">
        <f t="shared" si="290"/>
        <v>-0.11199999999999999</v>
      </c>
      <c r="Y305" s="73">
        <f t="shared" si="290"/>
        <v>-0.16000000000000003</v>
      </c>
      <c r="Z305" s="73">
        <f t="shared" si="290"/>
        <v>-0.20353982300884954</v>
      </c>
      <c r="AA305" s="24">
        <f t="shared" si="290"/>
        <v>-0.12083333333333335</v>
      </c>
      <c r="AB305" s="73">
        <f t="shared" si="290"/>
        <v>-0.25862068965517238</v>
      </c>
      <c r="AC305" s="73">
        <f t="shared" si="290"/>
        <v>-0.32432432432432434</v>
      </c>
      <c r="AD305" s="73">
        <f t="shared" si="290"/>
        <v>-0.34285714285714286</v>
      </c>
      <c r="AE305" s="73">
        <f t="shared" ref="AE305:AN305" si="291">AE303/Z303-1</f>
        <v>0</v>
      </c>
      <c r="AF305" s="24">
        <f t="shared" si="291"/>
        <v>-0.24170616113744081</v>
      </c>
      <c r="AG305" s="73">
        <f t="shared" si="291"/>
        <v>-3.4883720930232509E-2</v>
      </c>
      <c r="AH305" s="73">
        <f t="shared" si="291"/>
        <v>1.3333333333333419E-2</v>
      </c>
      <c r="AI305" s="73">
        <f t="shared" si="291"/>
        <v>0.10144927536231885</v>
      </c>
      <c r="AJ305" s="73">
        <f t="shared" si="291"/>
        <v>-0.17777777777777781</v>
      </c>
      <c r="AK305" s="24">
        <v>-3.4375000000000044E-2</v>
      </c>
      <c r="AL305" s="73">
        <v>-0.24096385542168675</v>
      </c>
      <c r="AM305" s="73">
        <v>-0.25</v>
      </c>
      <c r="AN305" s="73">
        <v>-0.22368421052631582</v>
      </c>
      <c r="AO305" s="73">
        <v>-8.108108108108103E-2</v>
      </c>
      <c r="AP305" s="24">
        <v>-0.20064724919093846</v>
      </c>
      <c r="AQ305" s="73">
        <v>4.7619047619047672E-2</v>
      </c>
      <c r="AR305" s="73">
        <v>0.19298245614035081</v>
      </c>
      <c r="AS305" s="73">
        <v>0.10169491525423724</v>
      </c>
      <c r="AT305" s="73">
        <v>-0.1029411764705882</v>
      </c>
      <c r="AU305" s="24">
        <v>5.2631578947368363E-2</v>
      </c>
      <c r="AV305" s="73">
        <v>-0.27272727272727271</v>
      </c>
      <c r="AW305" s="73">
        <v>-0.25</v>
      </c>
      <c r="AX305" s="73">
        <v>-0.10769230769230764</v>
      </c>
      <c r="AY305" s="73">
        <v>-4.9180327868852514E-2</v>
      </c>
      <c r="AZ305" s="24">
        <v>-0.17307692307692313</v>
      </c>
      <c r="BA305" s="73">
        <v>0.29166666666666674</v>
      </c>
    </row>
    <row r="306" spans="1:53">
      <c r="A306" s="69" t="s">
        <v>89</v>
      </c>
      <c r="B306" s="37">
        <v>102</v>
      </c>
      <c r="C306" s="80" t="s">
        <v>53</v>
      </c>
      <c r="D306" s="80" t="s">
        <v>53</v>
      </c>
      <c r="E306" s="80" t="s">
        <v>53</v>
      </c>
      <c r="F306" s="80" t="s">
        <v>53</v>
      </c>
      <c r="G306" s="37">
        <v>140</v>
      </c>
      <c r="H306" s="70">
        <v>32</v>
      </c>
      <c r="I306" s="70">
        <v>30</v>
      </c>
      <c r="J306" s="70">
        <v>30</v>
      </c>
      <c r="K306" s="70">
        <f>L306-J306-I306-H306</f>
        <v>41</v>
      </c>
      <c r="L306" s="37">
        <v>133</v>
      </c>
      <c r="M306" s="70">
        <v>29</v>
      </c>
      <c r="N306" s="70">
        <v>30</v>
      </c>
      <c r="O306" s="70">
        <v>30</v>
      </c>
      <c r="P306" s="70">
        <f>Q306-O306-N306-M306</f>
        <v>38</v>
      </c>
      <c r="Q306" s="37">
        <v>127</v>
      </c>
      <c r="R306" s="70">
        <v>32</v>
      </c>
      <c r="S306" s="70">
        <v>29</v>
      </c>
      <c r="T306" s="70">
        <v>28</v>
      </c>
      <c r="U306" s="70">
        <f>V306-T306-S306-R306</f>
        <v>32</v>
      </c>
      <c r="V306" s="37">
        <v>121</v>
      </c>
      <c r="W306" s="70">
        <v>30</v>
      </c>
      <c r="X306" s="70">
        <v>26</v>
      </c>
      <c r="Y306" s="70">
        <v>29</v>
      </c>
      <c r="Z306" s="70">
        <f>AA306-Y306-X306-W306</f>
        <v>29</v>
      </c>
      <c r="AA306" s="37">
        <v>114</v>
      </c>
      <c r="AB306" s="70">
        <v>28</v>
      </c>
      <c r="AC306" s="70">
        <v>27</v>
      </c>
      <c r="AD306" s="70">
        <v>31</v>
      </c>
      <c r="AE306" s="70">
        <f>AF306-AD306-AC306-AB306</f>
        <v>23</v>
      </c>
      <c r="AF306" s="37">
        <v>109</v>
      </c>
      <c r="AG306" s="70">
        <v>27</v>
      </c>
      <c r="AH306" s="70">
        <v>28</v>
      </c>
      <c r="AI306" s="70">
        <v>25</v>
      </c>
      <c r="AJ306" s="70">
        <f>AK306-AI306-AH306-AG306</f>
        <v>26</v>
      </c>
      <c r="AK306" s="37">
        <v>106</v>
      </c>
      <c r="AL306" s="70">
        <v>25</v>
      </c>
      <c r="AM306" s="70">
        <v>23</v>
      </c>
      <c r="AN306" s="70">
        <v>23</v>
      </c>
      <c r="AO306" s="70">
        <v>27</v>
      </c>
      <c r="AP306" s="37">
        <v>98</v>
      </c>
      <c r="AQ306" s="70">
        <v>25</v>
      </c>
      <c r="AR306" s="70">
        <v>22</v>
      </c>
      <c r="AS306" s="70">
        <v>21</v>
      </c>
      <c r="AT306" s="70">
        <v>21</v>
      </c>
      <c r="AU306" s="37">
        <v>89</v>
      </c>
      <c r="AV306" s="70">
        <v>22</v>
      </c>
      <c r="AW306" s="70">
        <v>22</v>
      </c>
      <c r="AX306" s="70">
        <v>21</v>
      </c>
      <c r="AY306" s="70">
        <v>23</v>
      </c>
      <c r="AZ306" s="37">
        <v>88</v>
      </c>
      <c r="BA306" s="70">
        <v>24</v>
      </c>
    </row>
    <row r="307" spans="1:53">
      <c r="A307" s="71" t="s">
        <v>7</v>
      </c>
      <c r="B307" s="24"/>
      <c r="C307" s="72"/>
      <c r="D307" s="72"/>
      <c r="E307" s="72"/>
      <c r="F307" s="72"/>
      <c r="G307" s="24"/>
      <c r="H307" s="72"/>
      <c r="I307" s="72">
        <f>I306/H306-1</f>
        <v>-6.25E-2</v>
      </c>
      <c r="J307" s="72">
        <f>J306/I306-1</f>
        <v>0</v>
      </c>
      <c r="K307" s="72">
        <f>K306/J306-1</f>
        <v>0.3666666666666667</v>
      </c>
      <c r="L307" s="24"/>
      <c r="M307" s="72">
        <f>M306/K306-1</f>
        <v>-0.29268292682926833</v>
      </c>
      <c r="N307" s="72">
        <f>N306/M306-1</f>
        <v>3.4482758620689724E-2</v>
      </c>
      <c r="O307" s="72">
        <f>O306/N306-1</f>
        <v>0</v>
      </c>
      <c r="P307" s="72">
        <f>P306/O306-1</f>
        <v>0.26666666666666661</v>
      </c>
      <c r="Q307" s="24"/>
      <c r="R307" s="72">
        <f>R306/P306-1</f>
        <v>-0.15789473684210531</v>
      </c>
      <c r="S307" s="72">
        <f>S306/R306-1</f>
        <v>-9.375E-2</v>
      </c>
      <c r="T307" s="72">
        <f>T306/S306-1</f>
        <v>-3.4482758620689613E-2</v>
      </c>
      <c r="U307" s="72">
        <f>U306/T306-1</f>
        <v>0.14285714285714279</v>
      </c>
      <c r="V307" s="24"/>
      <c r="W307" s="72">
        <f>W306/U306-1</f>
        <v>-6.25E-2</v>
      </c>
      <c r="X307" s="72">
        <f>X306/W306-1</f>
        <v>-0.1333333333333333</v>
      </c>
      <c r="Y307" s="72">
        <f>Y306/X306-1</f>
        <v>0.11538461538461542</v>
      </c>
      <c r="Z307" s="72">
        <f>Z306/Y306-1</f>
        <v>0</v>
      </c>
      <c r="AA307" s="24"/>
      <c r="AB307" s="72">
        <f>AB306/Z306-1</f>
        <v>-3.4482758620689613E-2</v>
      </c>
      <c r="AC307" s="72">
        <f>AC306/AB306-1</f>
        <v>-3.5714285714285698E-2</v>
      </c>
      <c r="AD307" s="72">
        <f>AD306/AC306-1</f>
        <v>0.14814814814814814</v>
      </c>
      <c r="AE307" s="72">
        <f>AE306/AD306-1</f>
        <v>-0.25806451612903225</v>
      </c>
      <c r="AF307" s="24"/>
      <c r="AG307" s="72">
        <f>AG306/AE306-1</f>
        <v>0.17391304347826098</v>
      </c>
      <c r="AH307" s="72">
        <f>AH306/AG306-1</f>
        <v>3.7037037037036979E-2</v>
      </c>
      <c r="AI307" s="72">
        <f>AI306/AH306-1</f>
        <v>-0.1071428571428571</v>
      </c>
      <c r="AJ307" s="72">
        <f>AJ306/AI306-1</f>
        <v>4.0000000000000036E-2</v>
      </c>
      <c r="AK307" s="24"/>
      <c r="AL307" s="72">
        <v>-3.8461538461538436E-2</v>
      </c>
      <c r="AM307" s="72">
        <v>-7.999999999999996E-2</v>
      </c>
      <c r="AN307" s="72">
        <v>0</v>
      </c>
      <c r="AO307" s="72">
        <v>0.17391304347826098</v>
      </c>
      <c r="AP307" s="24"/>
      <c r="AQ307" s="72">
        <v>-7.407407407407407E-2</v>
      </c>
      <c r="AR307" s="72">
        <v>-0.12</v>
      </c>
      <c r="AS307" s="72">
        <v>-4.5454545454545414E-2</v>
      </c>
      <c r="AT307" s="72">
        <v>0</v>
      </c>
      <c r="AU307" s="24"/>
      <c r="AV307" s="72">
        <v>4.7619047619047672E-2</v>
      </c>
      <c r="AW307" s="72">
        <v>0</v>
      </c>
      <c r="AX307" s="72">
        <v>-4.5454545454545414E-2</v>
      </c>
      <c r="AY307" s="72">
        <v>9.5238095238095344E-2</v>
      </c>
      <c r="AZ307" s="24"/>
      <c r="BA307" s="72">
        <v>4.3478260869565188E-2</v>
      </c>
    </row>
    <row r="308" spans="1:53">
      <c r="A308" s="71" t="s">
        <v>8</v>
      </c>
      <c r="B308" s="24"/>
      <c r="C308" s="73"/>
      <c r="D308" s="73"/>
      <c r="E308" s="73"/>
      <c r="F308" s="73"/>
      <c r="G308" s="24">
        <f>G306/B306-1</f>
        <v>0.37254901960784315</v>
      </c>
      <c r="H308" s="73"/>
      <c r="I308" s="73"/>
      <c r="J308" s="73"/>
      <c r="K308" s="73"/>
      <c r="L308" s="24">
        <f t="shared" ref="L308:AD308" si="292">L306/G306-1</f>
        <v>-5.0000000000000044E-2</v>
      </c>
      <c r="M308" s="73">
        <f t="shared" si="292"/>
        <v>-9.375E-2</v>
      </c>
      <c r="N308" s="73">
        <f t="shared" si="292"/>
        <v>0</v>
      </c>
      <c r="O308" s="73">
        <f t="shared" si="292"/>
        <v>0</v>
      </c>
      <c r="P308" s="73">
        <f t="shared" si="292"/>
        <v>-7.3170731707317027E-2</v>
      </c>
      <c r="Q308" s="24">
        <f t="shared" si="292"/>
        <v>-4.5112781954887216E-2</v>
      </c>
      <c r="R308" s="73">
        <f t="shared" si="292"/>
        <v>0.10344827586206895</v>
      </c>
      <c r="S308" s="73">
        <f t="shared" si="292"/>
        <v>-3.3333333333333326E-2</v>
      </c>
      <c r="T308" s="73">
        <f t="shared" si="292"/>
        <v>-6.6666666666666652E-2</v>
      </c>
      <c r="U308" s="73">
        <f t="shared" si="292"/>
        <v>-0.15789473684210531</v>
      </c>
      <c r="V308" s="24">
        <f t="shared" si="292"/>
        <v>-4.7244094488189003E-2</v>
      </c>
      <c r="W308" s="73">
        <f t="shared" si="292"/>
        <v>-6.25E-2</v>
      </c>
      <c r="X308" s="73">
        <f t="shared" si="292"/>
        <v>-0.10344827586206895</v>
      </c>
      <c r="Y308" s="73">
        <f t="shared" si="292"/>
        <v>3.5714285714285809E-2</v>
      </c>
      <c r="Z308" s="73">
        <f t="shared" si="292"/>
        <v>-9.375E-2</v>
      </c>
      <c r="AA308" s="24">
        <f t="shared" si="292"/>
        <v>-5.7851239669421517E-2</v>
      </c>
      <c r="AB308" s="73">
        <f t="shared" si="292"/>
        <v>-6.6666666666666652E-2</v>
      </c>
      <c r="AC308" s="73">
        <f t="shared" si="292"/>
        <v>3.8461538461538547E-2</v>
      </c>
      <c r="AD308" s="73">
        <f t="shared" si="292"/>
        <v>6.8965517241379226E-2</v>
      </c>
      <c r="AE308" s="73">
        <f t="shared" ref="AE308:AN308" si="293">AE306/Z306-1</f>
        <v>-0.2068965517241379</v>
      </c>
      <c r="AF308" s="24">
        <f t="shared" si="293"/>
        <v>-4.3859649122807043E-2</v>
      </c>
      <c r="AG308" s="73">
        <f t="shared" si="293"/>
        <v>-3.5714285714285698E-2</v>
      </c>
      <c r="AH308" s="73">
        <f t="shared" si="293"/>
        <v>3.7037037037036979E-2</v>
      </c>
      <c r="AI308" s="73">
        <f t="shared" si="293"/>
        <v>-0.19354838709677424</v>
      </c>
      <c r="AJ308" s="73">
        <f t="shared" si="293"/>
        <v>0.13043478260869557</v>
      </c>
      <c r="AK308" s="24">
        <v>-2.752293577981646E-2</v>
      </c>
      <c r="AL308" s="73">
        <v>-7.407407407407407E-2</v>
      </c>
      <c r="AM308" s="73">
        <v>-0.1785714285714286</v>
      </c>
      <c r="AN308" s="73">
        <v>-7.999999999999996E-2</v>
      </c>
      <c r="AO308" s="73">
        <v>3.8461538461538547E-2</v>
      </c>
      <c r="AP308" s="24">
        <v>-7.547169811320753E-2</v>
      </c>
      <c r="AQ308" s="73">
        <v>0</v>
      </c>
      <c r="AR308" s="73">
        <v>-4.3478260869565188E-2</v>
      </c>
      <c r="AS308" s="73">
        <v>-8.6956521739130488E-2</v>
      </c>
      <c r="AT308" s="73">
        <v>-0.22222222222222221</v>
      </c>
      <c r="AU308" s="24">
        <v>-9.1836734693877542E-2</v>
      </c>
      <c r="AV308" s="73">
        <v>-0.12</v>
      </c>
      <c r="AW308" s="73">
        <v>0</v>
      </c>
      <c r="AX308" s="73">
        <v>0</v>
      </c>
      <c r="AY308" s="73">
        <v>9.5238095238095344E-2</v>
      </c>
      <c r="AZ308" s="24">
        <v>-1.1235955056179803E-2</v>
      </c>
      <c r="BA308" s="73">
        <v>9.0909090909090828E-2</v>
      </c>
    </row>
    <row r="309" spans="1:53">
      <c r="A309" s="69" t="s">
        <v>172</v>
      </c>
      <c r="B309" s="63" t="s">
        <v>152</v>
      </c>
      <c r="C309" s="151" t="s">
        <v>152</v>
      </c>
      <c r="D309" s="151" t="s">
        <v>152</v>
      </c>
      <c r="E309" s="151" t="s">
        <v>152</v>
      </c>
      <c r="F309" s="151" t="s">
        <v>152</v>
      </c>
      <c r="G309" s="63" t="s">
        <v>152</v>
      </c>
      <c r="H309" s="151" t="s">
        <v>152</v>
      </c>
      <c r="I309" s="151" t="s">
        <v>152</v>
      </c>
      <c r="J309" s="151" t="s">
        <v>152</v>
      </c>
      <c r="K309" s="151" t="s">
        <v>152</v>
      </c>
      <c r="L309" s="63" t="s">
        <v>152</v>
      </c>
      <c r="M309" s="151" t="s">
        <v>152</v>
      </c>
      <c r="N309" s="151" t="s">
        <v>152</v>
      </c>
      <c r="O309" s="151" t="s">
        <v>152</v>
      </c>
      <c r="P309" s="151" t="s">
        <v>152</v>
      </c>
      <c r="Q309" s="63" t="s">
        <v>152</v>
      </c>
      <c r="R309" s="151" t="s">
        <v>152</v>
      </c>
      <c r="S309" s="151" t="s">
        <v>152</v>
      </c>
      <c r="T309" s="151" t="s">
        <v>152</v>
      </c>
      <c r="U309" s="151" t="s">
        <v>152</v>
      </c>
      <c r="V309" s="63" t="s">
        <v>152</v>
      </c>
      <c r="W309" s="151" t="s">
        <v>152</v>
      </c>
      <c r="X309" s="151" t="s">
        <v>152</v>
      </c>
      <c r="Y309" s="151" t="s">
        <v>152</v>
      </c>
      <c r="Z309" s="151" t="s">
        <v>152</v>
      </c>
      <c r="AA309" s="63" t="s">
        <v>152</v>
      </c>
      <c r="AB309" s="151" t="s">
        <v>152</v>
      </c>
      <c r="AC309" s="151" t="s">
        <v>152</v>
      </c>
      <c r="AD309" s="151" t="s">
        <v>152</v>
      </c>
      <c r="AE309" s="70">
        <v>61</v>
      </c>
      <c r="AF309" s="37">
        <v>61</v>
      </c>
      <c r="AG309" s="151" t="s">
        <v>152</v>
      </c>
      <c r="AH309" s="151" t="s">
        <v>152</v>
      </c>
      <c r="AI309" s="151" t="s">
        <v>152</v>
      </c>
      <c r="AJ309" s="151">
        <v>18</v>
      </c>
      <c r="AK309" s="37">
        <v>18</v>
      </c>
      <c r="AL309" s="151" t="s">
        <v>152</v>
      </c>
      <c r="AM309" s="151" t="s">
        <v>152</v>
      </c>
      <c r="AN309" s="151" t="s">
        <v>152</v>
      </c>
      <c r="AO309" s="151">
        <v>5</v>
      </c>
      <c r="AP309" s="37">
        <v>5</v>
      </c>
      <c r="AQ309" s="151" t="s">
        <v>152</v>
      </c>
      <c r="AR309" s="151" t="s">
        <v>152</v>
      </c>
      <c r="AS309" s="151" t="s">
        <v>152</v>
      </c>
      <c r="AT309" s="151">
        <v>1</v>
      </c>
      <c r="AU309" s="37">
        <v>1</v>
      </c>
      <c r="AV309" s="151" t="s">
        <v>152</v>
      </c>
      <c r="AW309" s="151" t="s">
        <v>152</v>
      </c>
      <c r="AX309" s="151" t="s">
        <v>152</v>
      </c>
      <c r="AY309" s="151" t="s">
        <v>152</v>
      </c>
      <c r="AZ309" s="63" t="s">
        <v>152</v>
      </c>
      <c r="BA309" s="151" t="s">
        <v>152</v>
      </c>
    </row>
    <row r="310" spans="1:53" ht="4.5" customHeight="1">
      <c r="A310" s="69"/>
      <c r="B310" s="63"/>
      <c r="C310" s="151"/>
      <c r="D310" s="151"/>
      <c r="E310" s="151"/>
      <c r="F310" s="151"/>
      <c r="G310" s="63"/>
      <c r="H310" s="151"/>
      <c r="I310" s="151"/>
      <c r="J310" s="151"/>
      <c r="K310" s="151"/>
      <c r="L310" s="63"/>
      <c r="M310" s="151"/>
      <c r="N310" s="151"/>
      <c r="O310" s="151"/>
      <c r="P310" s="151"/>
      <c r="Q310" s="63"/>
      <c r="R310" s="151"/>
      <c r="S310" s="151"/>
      <c r="T310" s="151"/>
      <c r="U310" s="151"/>
      <c r="V310" s="63"/>
      <c r="W310" s="151"/>
      <c r="X310" s="151"/>
      <c r="Y310" s="151"/>
      <c r="Z310" s="151"/>
      <c r="AA310" s="63"/>
      <c r="AB310" s="151"/>
      <c r="AC310" s="151"/>
      <c r="AD310" s="151"/>
      <c r="AE310" s="70"/>
      <c r="AF310" s="37"/>
      <c r="AG310" s="151"/>
      <c r="AH310" s="151"/>
      <c r="AI310" s="151"/>
      <c r="AJ310" s="151"/>
      <c r="AK310" s="37"/>
      <c r="AL310" s="151"/>
      <c r="AM310" s="151"/>
      <c r="AN310" s="151"/>
      <c r="AO310" s="151"/>
      <c r="AP310" s="37"/>
      <c r="AQ310" s="151"/>
      <c r="AR310" s="151"/>
      <c r="AS310" s="151"/>
      <c r="AT310" s="151"/>
      <c r="AU310" s="37"/>
      <c r="AV310" s="151"/>
      <c r="AW310" s="151"/>
      <c r="AX310" s="151"/>
      <c r="AY310" s="151"/>
      <c r="AZ310" s="63"/>
      <c r="BA310" s="151"/>
    </row>
    <row r="311" spans="1:53" ht="11.25" customHeight="1">
      <c r="A311" s="69" t="s">
        <v>212</v>
      </c>
      <c r="B311" s="37">
        <v>598</v>
      </c>
      <c r="C311" s="80" t="s">
        <v>53</v>
      </c>
      <c r="D311" s="80" t="s">
        <v>53</v>
      </c>
      <c r="E311" s="80" t="s">
        <v>53</v>
      </c>
      <c r="F311" s="80" t="s">
        <v>53</v>
      </c>
      <c r="G311" s="37">
        <v>638</v>
      </c>
      <c r="H311" s="80" t="s">
        <v>53</v>
      </c>
      <c r="I311" s="80" t="s">
        <v>53</v>
      </c>
      <c r="J311" s="80" t="s">
        <v>53</v>
      </c>
      <c r="K311" s="80" t="s">
        <v>53</v>
      </c>
      <c r="L311" s="37">
        <v>601</v>
      </c>
      <c r="M311" s="80" t="s">
        <v>53</v>
      </c>
      <c r="N311" s="80" t="s">
        <v>53</v>
      </c>
      <c r="O311" s="80" t="s">
        <v>53</v>
      </c>
      <c r="P311" s="80" t="s">
        <v>53</v>
      </c>
      <c r="Q311" s="37">
        <v>590</v>
      </c>
      <c r="R311" s="80" t="s">
        <v>53</v>
      </c>
      <c r="S311" s="80" t="s">
        <v>53</v>
      </c>
      <c r="T311" s="80" t="s">
        <v>53</v>
      </c>
      <c r="U311" s="80" t="s">
        <v>53</v>
      </c>
      <c r="V311" s="37">
        <v>602</v>
      </c>
      <c r="W311" s="80" t="s">
        <v>53</v>
      </c>
      <c r="X311" s="80" t="s">
        <v>53</v>
      </c>
      <c r="Y311" s="80" t="s">
        <v>53</v>
      </c>
      <c r="Z311" s="80" t="s">
        <v>53</v>
      </c>
      <c r="AA311" s="37">
        <v>491</v>
      </c>
      <c r="AB311" s="70">
        <v>114</v>
      </c>
      <c r="AC311" s="70">
        <v>109</v>
      </c>
      <c r="AD311" s="70">
        <v>111</v>
      </c>
      <c r="AE311" s="70">
        <f>AF311-AD311-AC311-AB311</f>
        <v>105</v>
      </c>
      <c r="AF311" s="37">
        <v>439</v>
      </c>
      <c r="AG311" s="70">
        <v>109</v>
      </c>
      <c r="AH311" s="70">
        <v>103</v>
      </c>
      <c r="AI311" s="70">
        <v>100</v>
      </c>
      <c r="AJ311" s="70">
        <f>AK311-AI311-AH311-AG311</f>
        <v>105</v>
      </c>
      <c r="AK311" s="37">
        <v>417</v>
      </c>
      <c r="AL311" s="70">
        <v>96</v>
      </c>
      <c r="AM311" s="70">
        <v>96</v>
      </c>
      <c r="AN311" s="70">
        <v>90</v>
      </c>
      <c r="AO311" s="70">
        <v>99</v>
      </c>
      <c r="AP311" s="37">
        <v>381</v>
      </c>
      <c r="AQ311" s="70">
        <v>96</v>
      </c>
      <c r="AR311" s="70">
        <v>94</v>
      </c>
      <c r="AS311" s="70">
        <v>94</v>
      </c>
      <c r="AT311" s="70">
        <v>94</v>
      </c>
      <c r="AU311" s="37">
        <v>378</v>
      </c>
      <c r="AV311" s="70">
        <v>98</v>
      </c>
      <c r="AW311" s="70">
        <v>94</v>
      </c>
      <c r="AX311" s="70">
        <v>94</v>
      </c>
      <c r="AY311" s="70">
        <v>98</v>
      </c>
      <c r="AZ311" s="37">
        <v>384</v>
      </c>
      <c r="BA311" s="70">
        <v>100</v>
      </c>
    </row>
    <row r="312" spans="1:53" ht="10.5" customHeight="1">
      <c r="A312" s="71" t="s">
        <v>7</v>
      </c>
      <c r="B312" s="24"/>
      <c r="C312" s="73"/>
      <c r="D312" s="73"/>
      <c r="E312" s="73"/>
      <c r="F312" s="73"/>
      <c r="G312" s="24"/>
      <c r="H312" s="73"/>
      <c r="I312" s="73"/>
      <c r="J312" s="73"/>
      <c r="K312" s="73"/>
      <c r="L312" s="24"/>
      <c r="M312" s="73"/>
      <c r="N312" s="73"/>
      <c r="O312" s="73"/>
      <c r="P312" s="73"/>
      <c r="Q312" s="24"/>
      <c r="R312" s="73"/>
      <c r="S312" s="73"/>
      <c r="T312" s="73"/>
      <c r="U312" s="73"/>
      <c r="V312" s="24"/>
      <c r="W312" s="73"/>
      <c r="X312" s="73"/>
      <c r="Y312" s="73"/>
      <c r="Z312" s="73"/>
      <c r="AA312" s="24"/>
      <c r="AB312" s="72"/>
      <c r="AC312" s="72">
        <f>AC311/AB311-1</f>
        <v>-4.3859649122807043E-2</v>
      </c>
      <c r="AD312" s="72">
        <f>AD311/AC311-1</f>
        <v>1.8348623853210899E-2</v>
      </c>
      <c r="AE312" s="72">
        <f>AE311/AD311-1</f>
        <v>-5.4054054054054057E-2</v>
      </c>
      <c r="AF312" s="24"/>
      <c r="AG312" s="72">
        <f>AG311/AE311-1</f>
        <v>3.8095238095238182E-2</v>
      </c>
      <c r="AH312" s="72">
        <f>AH311/AG311-1</f>
        <v>-5.5045871559633031E-2</v>
      </c>
      <c r="AI312" s="72">
        <f>AI311/AH311-1</f>
        <v>-2.9126213592232997E-2</v>
      </c>
      <c r="AJ312" s="72">
        <f>AJ311/AI311-1</f>
        <v>5.0000000000000044E-2</v>
      </c>
      <c r="AK312" s="24"/>
      <c r="AL312" s="72">
        <v>-8.5714285714285743E-2</v>
      </c>
      <c r="AM312" s="72">
        <v>0</v>
      </c>
      <c r="AN312" s="72">
        <v>-6.25E-2</v>
      </c>
      <c r="AO312" s="72">
        <v>0.10000000000000009</v>
      </c>
      <c r="AP312" s="24"/>
      <c r="AQ312" s="72">
        <v>-3.0303030303030276E-2</v>
      </c>
      <c r="AR312" s="72">
        <v>-2.083333333333337E-2</v>
      </c>
      <c r="AS312" s="72">
        <v>0</v>
      </c>
      <c r="AT312" s="72">
        <v>0</v>
      </c>
      <c r="AU312" s="24"/>
      <c r="AV312" s="72">
        <v>4.2553191489361764E-2</v>
      </c>
      <c r="AW312" s="72">
        <v>-4.081632653061229E-2</v>
      </c>
      <c r="AX312" s="72">
        <v>0</v>
      </c>
      <c r="AY312" s="72">
        <v>4.2553191489361764E-2</v>
      </c>
      <c r="AZ312" s="24"/>
      <c r="BA312" s="72">
        <v>2.0408163265306145E-2</v>
      </c>
    </row>
    <row r="313" spans="1:53" ht="10.5" customHeight="1">
      <c r="A313" s="71" t="s">
        <v>8</v>
      </c>
      <c r="B313" s="24"/>
      <c r="C313" s="73"/>
      <c r="D313" s="73"/>
      <c r="E313" s="73"/>
      <c r="F313" s="73"/>
      <c r="G313" s="24">
        <f>G311/B311-1</f>
        <v>6.6889632107023367E-2</v>
      </c>
      <c r="H313" s="73"/>
      <c r="I313" s="73"/>
      <c r="J313" s="73"/>
      <c r="K313" s="73"/>
      <c r="L313" s="24">
        <f>L311/G311-1</f>
        <v>-5.7993730407523536E-2</v>
      </c>
      <c r="M313" s="73"/>
      <c r="N313" s="73"/>
      <c r="O313" s="73"/>
      <c r="P313" s="73"/>
      <c r="Q313" s="24">
        <f>Q311/L311-1</f>
        <v>-1.830282861896837E-2</v>
      </c>
      <c r="R313" s="73"/>
      <c r="S313" s="73"/>
      <c r="T313" s="73"/>
      <c r="U313" s="73"/>
      <c r="V313" s="24">
        <f>V311/Q311-1</f>
        <v>2.0338983050847359E-2</v>
      </c>
      <c r="W313" s="73"/>
      <c r="X313" s="73"/>
      <c r="Y313" s="73"/>
      <c r="Z313" s="73"/>
      <c r="AA313" s="24">
        <f>AA311/V311-1</f>
        <v>-0.18438538205980071</v>
      </c>
      <c r="AB313" s="73"/>
      <c r="AC313" s="73"/>
      <c r="AD313" s="73"/>
      <c r="AE313" s="73"/>
      <c r="AF313" s="24">
        <f t="shared" ref="AF313" si="294">AF311/AA311-1</f>
        <v>-0.1059063136456212</v>
      </c>
      <c r="AG313" s="73">
        <f t="shared" ref="AG313" si="295">AG311/AB311-1</f>
        <v>-4.3859649122807043E-2</v>
      </c>
      <c r="AH313" s="73">
        <f t="shared" ref="AH313" si="296">AH311/AC311-1</f>
        <v>-5.5045871559633031E-2</v>
      </c>
      <c r="AI313" s="73">
        <f t="shared" ref="AI313" si="297">AI311/AD311-1</f>
        <v>-9.9099099099099086E-2</v>
      </c>
      <c r="AJ313" s="73">
        <f t="shared" ref="AJ313" si="298">AJ311/AE311-1</f>
        <v>0</v>
      </c>
      <c r="AK313" s="24">
        <v>-5.0113895216400861E-2</v>
      </c>
      <c r="AL313" s="73">
        <v>-0.11926605504587151</v>
      </c>
      <c r="AM313" s="73">
        <v>-6.7961165048543659E-2</v>
      </c>
      <c r="AN313" s="73">
        <v>-9.9999999999999978E-2</v>
      </c>
      <c r="AO313" s="73">
        <v>-5.7142857142857162E-2</v>
      </c>
      <c r="AP313" s="24">
        <v>-8.633093525179858E-2</v>
      </c>
      <c r="AQ313" s="73">
        <v>0</v>
      </c>
      <c r="AR313" s="73">
        <v>-2.083333333333337E-2</v>
      </c>
      <c r="AS313" s="73">
        <v>4.4444444444444509E-2</v>
      </c>
      <c r="AT313" s="73">
        <v>-5.0505050505050497E-2</v>
      </c>
      <c r="AU313" s="24">
        <v>-7.8740157480314821E-3</v>
      </c>
      <c r="AV313" s="73">
        <v>2.0833333333333259E-2</v>
      </c>
      <c r="AW313" s="73">
        <v>0</v>
      </c>
      <c r="AX313" s="73">
        <v>0</v>
      </c>
      <c r="AY313" s="73">
        <v>4.2553191489361764E-2</v>
      </c>
      <c r="AZ313" s="24">
        <v>1.5873015873015817E-2</v>
      </c>
      <c r="BA313" s="73">
        <v>2.0408163265306145E-2</v>
      </c>
    </row>
    <row r="314" spans="1:53" s="36" customFormat="1">
      <c r="A314" s="69" t="s">
        <v>211</v>
      </c>
      <c r="B314" s="37">
        <f>398+81</f>
        <v>479</v>
      </c>
      <c r="C314" s="70">
        <v>129</v>
      </c>
      <c r="D314" s="70">
        <v>130</v>
      </c>
      <c r="E314" s="70">
        <v>129</v>
      </c>
      <c r="F314" s="70">
        <f>G314-E314-D314-C314</f>
        <v>135</v>
      </c>
      <c r="G314" s="37">
        <f>424+99</f>
        <v>523</v>
      </c>
      <c r="H314" s="70">
        <v>139</v>
      </c>
      <c r="I314" s="70">
        <f>114+37</f>
        <v>151</v>
      </c>
      <c r="J314" s="70">
        <v>155</v>
      </c>
      <c r="K314" s="70">
        <f>L314-J314-I314-H314</f>
        <v>158</v>
      </c>
      <c r="L314" s="37">
        <f>456+147</f>
        <v>603</v>
      </c>
      <c r="M314" s="70">
        <f>110+39</f>
        <v>149</v>
      </c>
      <c r="N314" s="70">
        <f>109+40</f>
        <v>149</v>
      </c>
      <c r="O314" s="70">
        <f>110+39</f>
        <v>149</v>
      </c>
      <c r="P314" s="70">
        <f>Q314-O314-N314-M314</f>
        <v>154</v>
      </c>
      <c r="Q314" s="37">
        <f>444+157</f>
        <v>601</v>
      </c>
      <c r="R314" s="70">
        <v>139</v>
      </c>
      <c r="S314" s="70">
        <v>143</v>
      </c>
      <c r="T314" s="70">
        <v>139</v>
      </c>
      <c r="U314" s="70">
        <f>V314-T314-S314-R314</f>
        <v>140</v>
      </c>
      <c r="V314" s="37">
        <f>410+151</f>
        <v>561</v>
      </c>
      <c r="W314" s="70">
        <v>135</v>
      </c>
      <c r="X314" s="70">
        <f>105+32</f>
        <v>137</v>
      </c>
      <c r="Y314" s="70">
        <v>130</v>
      </c>
      <c r="Z314" s="70">
        <f>AA314-Y314-X314-W314</f>
        <v>129</v>
      </c>
      <c r="AA314" s="37">
        <v>531</v>
      </c>
      <c r="AB314" s="70">
        <f>98+23</f>
        <v>121</v>
      </c>
      <c r="AC314" s="70">
        <f>91+22</f>
        <v>113</v>
      </c>
      <c r="AD314" s="70">
        <v>111</v>
      </c>
      <c r="AE314" s="70">
        <f>AF314-AD314-AC314-AB314</f>
        <v>113</v>
      </c>
      <c r="AF314" s="37">
        <v>458</v>
      </c>
      <c r="AG314" s="70">
        <f>87+19</f>
        <v>106</v>
      </c>
      <c r="AH314" s="70">
        <v>105</v>
      </c>
      <c r="AI314" s="70">
        <v>108</v>
      </c>
      <c r="AJ314" s="70">
        <f>AK314-AI314-AH314-AG314</f>
        <v>111</v>
      </c>
      <c r="AK314" s="37">
        <v>430</v>
      </c>
      <c r="AL314" s="70">
        <v>104</v>
      </c>
      <c r="AM314" s="70">
        <v>106</v>
      </c>
      <c r="AN314" s="70">
        <v>109</v>
      </c>
      <c r="AO314" s="70">
        <v>100</v>
      </c>
      <c r="AP314" s="37">
        <v>419</v>
      </c>
      <c r="AQ314" s="70">
        <v>104</v>
      </c>
      <c r="AR314" s="70">
        <v>95</v>
      </c>
      <c r="AS314" s="70">
        <v>92</v>
      </c>
      <c r="AT314" s="70">
        <v>89</v>
      </c>
      <c r="AU314" s="37">
        <v>380</v>
      </c>
      <c r="AV314" s="70">
        <v>94</v>
      </c>
      <c r="AW314" s="70">
        <v>99</v>
      </c>
      <c r="AX314" s="70">
        <v>100</v>
      </c>
      <c r="AY314" s="70">
        <v>90</v>
      </c>
      <c r="AZ314" s="37">
        <v>383</v>
      </c>
      <c r="BA314" s="70">
        <v>158</v>
      </c>
    </row>
    <row r="315" spans="1:53">
      <c r="A315" s="82" t="s">
        <v>7</v>
      </c>
      <c r="B315" s="24"/>
      <c r="C315" s="72"/>
      <c r="D315" s="72">
        <f>D314/C314-1</f>
        <v>7.7519379844961378E-3</v>
      </c>
      <c r="E315" s="72">
        <f>E314/D314-1</f>
        <v>-7.692307692307665E-3</v>
      </c>
      <c r="F315" s="72">
        <f>F314/E314-1</f>
        <v>4.6511627906976827E-2</v>
      </c>
      <c r="G315" s="24"/>
      <c r="H315" s="72">
        <f>H314/F314-1</f>
        <v>2.9629629629629672E-2</v>
      </c>
      <c r="I315" s="72">
        <f>I314/H314-1</f>
        <v>8.6330935251798468E-2</v>
      </c>
      <c r="J315" s="72">
        <f>J314/I314-1</f>
        <v>2.6490066225165476E-2</v>
      </c>
      <c r="K315" s="72">
        <f>K314/J314-1</f>
        <v>1.9354838709677358E-2</v>
      </c>
      <c r="L315" s="24"/>
      <c r="M315" s="72">
        <f>M314/K314-1</f>
        <v>-5.6962025316455667E-2</v>
      </c>
      <c r="N315" s="72">
        <f>N314/M314-1</f>
        <v>0</v>
      </c>
      <c r="O315" s="72">
        <f>O314/N314-1</f>
        <v>0</v>
      </c>
      <c r="P315" s="72">
        <f>P314/O314-1</f>
        <v>3.3557046979865834E-2</v>
      </c>
      <c r="Q315" s="24"/>
      <c r="R315" s="72">
        <f>R314/P314-1</f>
        <v>-9.740259740259738E-2</v>
      </c>
      <c r="S315" s="72">
        <f>S314/R314-1</f>
        <v>2.877697841726623E-2</v>
      </c>
      <c r="T315" s="72">
        <f>T314/S314-1</f>
        <v>-2.7972027972028024E-2</v>
      </c>
      <c r="U315" s="72">
        <f>U314/T314-1</f>
        <v>7.194244604316502E-3</v>
      </c>
      <c r="V315" s="24"/>
      <c r="W315" s="72">
        <f>W314/U314-1</f>
        <v>-3.5714285714285698E-2</v>
      </c>
      <c r="X315" s="72">
        <f>X314/W314-1</f>
        <v>1.4814814814814836E-2</v>
      </c>
      <c r="Y315" s="72">
        <f>Y314/X314-1</f>
        <v>-5.1094890510948954E-2</v>
      </c>
      <c r="Z315" s="72">
        <f>Z314/Y314-1</f>
        <v>-7.692307692307665E-3</v>
      </c>
      <c r="AA315" s="24"/>
      <c r="AB315" s="72">
        <f>AB314/Z314-1</f>
        <v>-6.2015503875968991E-2</v>
      </c>
      <c r="AC315" s="72">
        <f>AC314/AB314-1</f>
        <v>-6.6115702479338845E-2</v>
      </c>
      <c r="AD315" s="72">
        <f>AD314/AC314-1</f>
        <v>-1.7699115044247815E-2</v>
      </c>
      <c r="AE315" s="72">
        <f>AE314/AD314-1</f>
        <v>1.8018018018018056E-2</v>
      </c>
      <c r="AF315" s="24"/>
      <c r="AG315" s="72">
        <f>AG314/AE314-1</f>
        <v>-6.1946902654867242E-2</v>
      </c>
      <c r="AH315" s="72">
        <f>AH314/AG314-1</f>
        <v>-9.4339622641509413E-3</v>
      </c>
      <c r="AI315" s="72">
        <f>AI314/AH314-1</f>
        <v>2.857142857142847E-2</v>
      </c>
      <c r="AJ315" s="72">
        <f>AJ314/AI314-1</f>
        <v>2.7777777777777679E-2</v>
      </c>
      <c r="AK315" s="24"/>
      <c r="AL315" s="72">
        <v>-6.3063063063063085E-2</v>
      </c>
      <c r="AM315" s="72">
        <v>1.9230769230769162E-2</v>
      </c>
      <c r="AN315" s="72">
        <v>2.8301886792452935E-2</v>
      </c>
      <c r="AO315" s="72">
        <v>-8.256880733944949E-2</v>
      </c>
      <c r="AP315" s="24"/>
      <c r="AQ315" s="72">
        <v>4.0000000000000036E-2</v>
      </c>
      <c r="AR315" s="72">
        <v>-8.6538461538461564E-2</v>
      </c>
      <c r="AS315" s="72">
        <v>-3.157894736842104E-2</v>
      </c>
      <c r="AT315" s="72">
        <v>-3.2608695652173947E-2</v>
      </c>
      <c r="AU315" s="24"/>
      <c r="AV315" s="72">
        <v>5.6179775280898792E-2</v>
      </c>
      <c r="AW315" s="72">
        <v>5.3191489361702038E-2</v>
      </c>
      <c r="AX315" s="72">
        <v>1.0101010101010166E-2</v>
      </c>
      <c r="AY315" s="72">
        <v>-9.9999999999999978E-2</v>
      </c>
      <c r="AZ315" s="24"/>
      <c r="BA315" s="72">
        <v>0.75555555555555554</v>
      </c>
    </row>
    <row r="316" spans="1:53">
      <c r="A316" s="82" t="s">
        <v>8</v>
      </c>
      <c r="B316" s="24"/>
      <c r="C316" s="73"/>
      <c r="D316" s="73"/>
      <c r="E316" s="73"/>
      <c r="F316" s="73"/>
      <c r="G316" s="24">
        <f t="shared" ref="G316:N316" si="299">G314/B314-1</f>
        <v>9.1858037578288032E-2</v>
      </c>
      <c r="H316" s="73">
        <f t="shared" si="299"/>
        <v>7.7519379844961156E-2</v>
      </c>
      <c r="I316" s="73">
        <f t="shared" si="299"/>
        <v>0.16153846153846163</v>
      </c>
      <c r="J316" s="73">
        <f t="shared" si="299"/>
        <v>0.20155038759689914</v>
      </c>
      <c r="K316" s="73">
        <f t="shared" si="299"/>
        <v>0.17037037037037028</v>
      </c>
      <c r="L316" s="24">
        <f t="shared" si="299"/>
        <v>0.15296367112810705</v>
      </c>
      <c r="M316" s="73">
        <f t="shared" si="299"/>
        <v>7.1942446043165464E-2</v>
      </c>
      <c r="N316" s="73">
        <f t="shared" si="299"/>
        <v>-1.3245033112582738E-2</v>
      </c>
      <c r="O316" s="73">
        <f t="shared" ref="O316:Y316" si="300">O314/J314-1</f>
        <v>-3.8709677419354827E-2</v>
      </c>
      <c r="P316" s="73">
        <f t="shared" si="300"/>
        <v>-2.5316455696202556E-2</v>
      </c>
      <c r="Q316" s="24">
        <f t="shared" si="300"/>
        <v>-3.3167495854062867E-3</v>
      </c>
      <c r="R316" s="73">
        <f t="shared" si="300"/>
        <v>-6.7114093959731558E-2</v>
      </c>
      <c r="S316" s="73">
        <f t="shared" si="300"/>
        <v>-4.0268456375838979E-2</v>
      </c>
      <c r="T316" s="73">
        <f t="shared" si="300"/>
        <v>-6.7114093959731558E-2</v>
      </c>
      <c r="U316" s="73">
        <f t="shared" si="300"/>
        <v>-9.0909090909090939E-2</v>
      </c>
      <c r="V316" s="24">
        <f t="shared" si="300"/>
        <v>-6.6555740432612365E-2</v>
      </c>
      <c r="W316" s="73">
        <f t="shared" si="300"/>
        <v>-2.877697841726623E-2</v>
      </c>
      <c r="X316" s="73">
        <f t="shared" si="300"/>
        <v>-4.1958041958041981E-2</v>
      </c>
      <c r="Y316" s="73">
        <f t="shared" si="300"/>
        <v>-6.4748201438848962E-2</v>
      </c>
      <c r="Z316" s="73">
        <f t="shared" ref="Z316:AI316" si="301">Z314/U314-1</f>
        <v>-7.8571428571428625E-2</v>
      </c>
      <c r="AA316" s="24">
        <f t="shared" si="301"/>
        <v>-5.3475935828876997E-2</v>
      </c>
      <c r="AB316" s="73">
        <f t="shared" si="301"/>
        <v>-0.10370370370370374</v>
      </c>
      <c r="AC316" s="73">
        <f t="shared" si="301"/>
        <v>-0.17518248175182483</v>
      </c>
      <c r="AD316" s="73">
        <f t="shared" si="301"/>
        <v>-0.14615384615384619</v>
      </c>
      <c r="AE316" s="73">
        <f t="shared" si="301"/>
        <v>-0.12403100775193798</v>
      </c>
      <c r="AF316" s="24">
        <f t="shared" si="301"/>
        <v>-0.13747645951035781</v>
      </c>
      <c r="AG316" s="73">
        <f t="shared" si="301"/>
        <v>-0.12396694214876036</v>
      </c>
      <c r="AH316" s="73">
        <f t="shared" si="301"/>
        <v>-7.0796460176991149E-2</v>
      </c>
      <c r="AI316" s="73">
        <f t="shared" si="301"/>
        <v>-2.7027027027026973E-2</v>
      </c>
      <c r="AJ316" s="73">
        <f t="shared" ref="AJ316:AS316" si="302">AJ314/AE314-1</f>
        <v>-1.7699115044247815E-2</v>
      </c>
      <c r="AK316" s="24">
        <v>-6.1135371179039333E-2</v>
      </c>
      <c r="AL316" s="73">
        <v>-1.8867924528301883E-2</v>
      </c>
      <c r="AM316" s="73">
        <v>9.52380952380949E-3</v>
      </c>
      <c r="AN316" s="73">
        <v>9.2592592592593004E-3</v>
      </c>
      <c r="AO316" s="73">
        <v>-9.9099099099099086E-2</v>
      </c>
      <c r="AP316" s="24">
        <v>-2.5581395348837188E-2</v>
      </c>
      <c r="AQ316" s="73">
        <v>0</v>
      </c>
      <c r="AR316" s="73">
        <v>-0.10377358490566035</v>
      </c>
      <c r="AS316" s="73">
        <v>-0.15596330275229353</v>
      </c>
      <c r="AT316" s="73">
        <v>-0.10999999999999999</v>
      </c>
      <c r="AU316" s="24">
        <v>-9.3078758949880713E-2</v>
      </c>
      <c r="AV316" s="73">
        <v>-9.6153846153846145E-2</v>
      </c>
      <c r="AW316" s="73">
        <v>4.2105263157894646E-2</v>
      </c>
      <c r="AX316" s="73">
        <v>8.6956521739130377E-2</v>
      </c>
      <c r="AY316" s="73">
        <v>1.1235955056179803E-2</v>
      </c>
      <c r="AZ316" s="24">
        <v>7.8947368421051767E-3</v>
      </c>
      <c r="BA316" s="73">
        <v>0.68085106382978733</v>
      </c>
    </row>
    <row r="317" spans="1:53" s="36" customFormat="1">
      <c r="A317" s="69" t="s">
        <v>43</v>
      </c>
      <c r="B317" s="37">
        <v>805</v>
      </c>
      <c r="C317" s="70">
        <v>215</v>
      </c>
      <c r="D317" s="70">
        <v>266</v>
      </c>
      <c r="E317" s="70">
        <v>293</v>
      </c>
      <c r="F317" s="70">
        <f>G317-E317-D317-C317</f>
        <v>159</v>
      </c>
      <c r="G317" s="37">
        <v>933</v>
      </c>
      <c r="H317" s="70">
        <v>302</v>
      </c>
      <c r="I317" s="70">
        <v>321</v>
      </c>
      <c r="J317" s="70">
        <v>316</v>
      </c>
      <c r="K317" s="70">
        <f>L317-J317-I317-H317</f>
        <v>251</v>
      </c>
      <c r="L317" s="37">
        <v>1190</v>
      </c>
      <c r="M317" s="70">
        <v>322</v>
      </c>
      <c r="N317" s="70">
        <v>362</v>
      </c>
      <c r="O317" s="70">
        <v>356</v>
      </c>
      <c r="P317" s="70">
        <f>Q317-O317-N317-M317</f>
        <v>343</v>
      </c>
      <c r="Q317" s="37">
        <v>1383</v>
      </c>
      <c r="R317" s="70">
        <v>399</v>
      </c>
      <c r="S317" s="70">
        <v>357</v>
      </c>
      <c r="T317" s="70">
        <v>342</v>
      </c>
      <c r="U317" s="70">
        <f>V317-T317-S317-R317</f>
        <v>262</v>
      </c>
      <c r="V317" s="37">
        <v>1360</v>
      </c>
      <c r="W317" s="70">
        <v>267</v>
      </c>
      <c r="X317" s="70">
        <v>259</v>
      </c>
      <c r="Y317" s="70">
        <v>199</v>
      </c>
      <c r="Z317" s="70">
        <f>AA317-Y317-X317-W317</f>
        <v>167</v>
      </c>
      <c r="AA317" s="37">
        <v>892</v>
      </c>
      <c r="AB317" s="70">
        <f>AB300-AB303-AB306</f>
        <v>174</v>
      </c>
      <c r="AC317" s="70">
        <f>AC300-AC303-AC306</f>
        <v>186</v>
      </c>
      <c r="AD317" s="70">
        <f>AD300-AD303-AD306</f>
        <v>172</v>
      </c>
      <c r="AE317" s="70">
        <f>AF317-AD317-AC317-AB317</f>
        <v>76</v>
      </c>
      <c r="AF317" s="37">
        <f>AF300-AF303-AF306-61</f>
        <v>608</v>
      </c>
      <c r="AG317" s="70">
        <v>126</v>
      </c>
      <c r="AH317" s="70">
        <v>127</v>
      </c>
      <c r="AI317" s="70">
        <v>122</v>
      </c>
      <c r="AJ317" s="70">
        <f>AK317-AI317-AH317-AG317</f>
        <v>74</v>
      </c>
      <c r="AK317" s="37">
        <v>449</v>
      </c>
      <c r="AL317" s="70">
        <v>32</v>
      </c>
      <c r="AM317" s="70">
        <v>53</v>
      </c>
      <c r="AN317" s="70">
        <v>61</v>
      </c>
      <c r="AO317" s="70">
        <v>11</v>
      </c>
      <c r="AP317" s="37">
        <v>157</v>
      </c>
      <c r="AQ317" s="70">
        <v>1</v>
      </c>
      <c r="AR317" s="70">
        <v>8</v>
      </c>
      <c r="AS317" s="70">
        <v>27</v>
      </c>
      <c r="AT317" s="220">
        <v>-4</v>
      </c>
      <c r="AU317" s="37">
        <v>32</v>
      </c>
      <c r="AV317" s="70">
        <v>5</v>
      </c>
      <c r="AW317" s="70">
        <v>30</v>
      </c>
      <c r="AX317" s="70">
        <v>22</v>
      </c>
      <c r="AY317" s="70">
        <v>15</v>
      </c>
      <c r="AZ317" s="37">
        <v>72</v>
      </c>
      <c r="BA317" s="70">
        <v>2</v>
      </c>
    </row>
    <row r="318" spans="1:53">
      <c r="A318" s="71" t="s">
        <v>7</v>
      </c>
      <c r="B318" s="24"/>
      <c r="C318" s="72"/>
      <c r="D318" s="72">
        <f>D317/C317-1</f>
        <v>0.23720930232558146</v>
      </c>
      <c r="E318" s="72">
        <f>E317/D317-1</f>
        <v>0.10150375939849621</v>
      </c>
      <c r="F318" s="72">
        <f>F317/E317-1</f>
        <v>-0.4573378839590444</v>
      </c>
      <c r="G318" s="24"/>
      <c r="H318" s="72">
        <f>H317/F317-1</f>
        <v>0.89937106918238996</v>
      </c>
      <c r="I318" s="72">
        <f>I317/H317-1</f>
        <v>6.29139072847682E-2</v>
      </c>
      <c r="J318" s="72">
        <f>J317/I317-1</f>
        <v>-1.5576323987538943E-2</v>
      </c>
      <c r="K318" s="72">
        <f>K317/J317-1</f>
        <v>-0.20569620253164556</v>
      </c>
      <c r="L318" s="24"/>
      <c r="M318" s="72">
        <f>M317/K317-1</f>
        <v>0.28286852589641431</v>
      </c>
      <c r="N318" s="72">
        <f>N317/M317-1</f>
        <v>0.12422360248447206</v>
      </c>
      <c r="O318" s="72">
        <f>O317/N317-1</f>
        <v>-1.6574585635359074E-2</v>
      </c>
      <c r="P318" s="72">
        <f>P317/O317-1</f>
        <v>-3.6516853932584303E-2</v>
      </c>
      <c r="Q318" s="24"/>
      <c r="R318" s="72">
        <f>R317/P317-1</f>
        <v>0.16326530612244894</v>
      </c>
      <c r="S318" s="72">
        <f>S317/R317-1</f>
        <v>-0.10526315789473684</v>
      </c>
      <c r="T318" s="72">
        <f>T317/S317-1</f>
        <v>-4.2016806722689037E-2</v>
      </c>
      <c r="U318" s="72">
        <f>U317/T317-1</f>
        <v>-0.23391812865497075</v>
      </c>
      <c r="V318" s="24"/>
      <c r="W318" s="72">
        <f>W317/U317-1</f>
        <v>1.9083969465648831E-2</v>
      </c>
      <c r="X318" s="72">
        <f>X317/W317-1</f>
        <v>-2.9962546816479363E-2</v>
      </c>
      <c r="Y318" s="72">
        <f>Y317/X317-1</f>
        <v>-0.23166023166023164</v>
      </c>
      <c r="Z318" s="72">
        <f>Z317/Y317-1</f>
        <v>-0.16080402010050254</v>
      </c>
      <c r="AA318" s="24"/>
      <c r="AB318" s="72">
        <f>AB317/Z317-1</f>
        <v>4.1916167664670656E-2</v>
      </c>
      <c r="AC318" s="72">
        <f>AC317/AB317-1</f>
        <v>6.8965517241379226E-2</v>
      </c>
      <c r="AD318" s="72">
        <f>AD317/AC317-1</f>
        <v>-7.5268817204301119E-2</v>
      </c>
      <c r="AE318" s="72">
        <f>AE317/AD317-1</f>
        <v>-0.55813953488372092</v>
      </c>
      <c r="AF318" s="24"/>
      <c r="AG318" s="72">
        <f>AG317/AE317-1</f>
        <v>0.65789473684210531</v>
      </c>
      <c r="AH318" s="72">
        <f>AH317/AG317-1</f>
        <v>7.9365079365079083E-3</v>
      </c>
      <c r="AI318" s="72">
        <f>AI317/AH317-1</f>
        <v>-3.9370078740157521E-2</v>
      </c>
      <c r="AJ318" s="72">
        <f>AJ317/AI317-1</f>
        <v>-0.39344262295081966</v>
      </c>
      <c r="AK318" s="24"/>
      <c r="AL318" s="72">
        <v>-0.56756756756756754</v>
      </c>
      <c r="AM318" s="72">
        <v>0.65625</v>
      </c>
      <c r="AN318" s="72">
        <v>0.15094339622641506</v>
      </c>
      <c r="AO318" s="72">
        <v>-0.81967213114754101</v>
      </c>
      <c r="AP318" s="24"/>
      <c r="AQ318" s="72">
        <v>-0.90909090909090906</v>
      </c>
      <c r="AR318" s="72">
        <v>7</v>
      </c>
      <c r="AS318" s="72">
        <v>2.375</v>
      </c>
      <c r="AT318" s="72">
        <v>-1.1481481481481481</v>
      </c>
      <c r="AU318" s="24"/>
      <c r="AV318" s="85" t="s">
        <v>44</v>
      </c>
      <c r="AW318" s="72">
        <v>5</v>
      </c>
      <c r="AX318" s="72">
        <v>-0.26666666666666672</v>
      </c>
      <c r="AY318" s="72">
        <v>-0.31818181818181823</v>
      </c>
      <c r="AZ318" s="24"/>
      <c r="BA318" s="72">
        <v>-0.8666666666666667</v>
      </c>
    </row>
    <row r="319" spans="1:53">
      <c r="A319" s="71" t="s">
        <v>8</v>
      </c>
      <c r="B319" s="24"/>
      <c r="C319" s="73"/>
      <c r="D319" s="73"/>
      <c r="E319" s="73"/>
      <c r="F319" s="73"/>
      <c r="G319" s="24">
        <f t="shared" ref="G319:N319" si="303">G317/B317-1</f>
        <v>0.15900621118012426</v>
      </c>
      <c r="H319" s="73">
        <f t="shared" si="303"/>
        <v>0.40465116279069768</v>
      </c>
      <c r="I319" s="73">
        <f t="shared" si="303"/>
        <v>0.20676691729323315</v>
      </c>
      <c r="J319" s="73">
        <f t="shared" si="303"/>
        <v>7.8498293515358419E-2</v>
      </c>
      <c r="K319" s="73">
        <f t="shared" si="303"/>
        <v>0.57861635220125796</v>
      </c>
      <c r="L319" s="24">
        <f t="shared" si="303"/>
        <v>0.27545551982851024</v>
      </c>
      <c r="M319" s="73">
        <f t="shared" si="303"/>
        <v>6.6225165562913801E-2</v>
      </c>
      <c r="N319" s="73">
        <f t="shared" si="303"/>
        <v>0.12772585669781922</v>
      </c>
      <c r="O319" s="73">
        <f t="shared" ref="O319:Y319" si="304">O317/J317-1</f>
        <v>0.12658227848101267</v>
      </c>
      <c r="P319" s="73">
        <f t="shared" si="304"/>
        <v>0.36653386454183257</v>
      </c>
      <c r="Q319" s="24">
        <f t="shared" si="304"/>
        <v>0.16218487394957992</v>
      </c>
      <c r="R319" s="73">
        <f t="shared" si="304"/>
        <v>0.23913043478260865</v>
      </c>
      <c r="S319" s="73">
        <f t="shared" si="304"/>
        <v>-1.3812154696132617E-2</v>
      </c>
      <c r="T319" s="73">
        <f t="shared" si="304"/>
        <v>-3.9325842696629199E-2</v>
      </c>
      <c r="U319" s="73">
        <f t="shared" si="304"/>
        <v>-0.23615160349854225</v>
      </c>
      <c r="V319" s="24">
        <f t="shared" si="304"/>
        <v>-1.6630513376717282E-2</v>
      </c>
      <c r="W319" s="73">
        <f t="shared" si="304"/>
        <v>-0.33082706766917291</v>
      </c>
      <c r="X319" s="73">
        <f t="shared" si="304"/>
        <v>-0.27450980392156865</v>
      </c>
      <c r="Y319" s="73">
        <f t="shared" si="304"/>
        <v>-0.41812865497076024</v>
      </c>
      <c r="Z319" s="73">
        <f t="shared" ref="Z319:AI319" si="305">Z317/U317-1</f>
        <v>-0.36259541984732824</v>
      </c>
      <c r="AA319" s="24">
        <f t="shared" si="305"/>
        <v>-0.34411764705882353</v>
      </c>
      <c r="AB319" s="73">
        <f t="shared" si="305"/>
        <v>-0.348314606741573</v>
      </c>
      <c r="AC319" s="73">
        <f t="shared" si="305"/>
        <v>-0.28185328185328185</v>
      </c>
      <c r="AD319" s="73">
        <f t="shared" si="305"/>
        <v>-0.13567839195979903</v>
      </c>
      <c r="AE319" s="73">
        <f t="shared" si="305"/>
        <v>-0.54491017964071853</v>
      </c>
      <c r="AF319" s="24">
        <f t="shared" si="305"/>
        <v>-0.31838565022421528</v>
      </c>
      <c r="AG319" s="73">
        <f t="shared" si="305"/>
        <v>-0.27586206896551724</v>
      </c>
      <c r="AH319" s="73">
        <f t="shared" si="305"/>
        <v>-0.31720430107526887</v>
      </c>
      <c r="AI319" s="73">
        <f t="shared" si="305"/>
        <v>-0.29069767441860461</v>
      </c>
      <c r="AJ319" s="73">
        <f t="shared" ref="AJ319:AS319" si="306">AJ317/AE317-1</f>
        <v>-2.6315789473684181E-2</v>
      </c>
      <c r="AK319" s="24">
        <v>-0.26151315789473684</v>
      </c>
      <c r="AL319" s="73">
        <v>-0.74603174603174605</v>
      </c>
      <c r="AM319" s="73">
        <v>-0.58267716535433078</v>
      </c>
      <c r="AN319" s="73">
        <v>-0.5</v>
      </c>
      <c r="AO319" s="73">
        <v>-0.85135135135135132</v>
      </c>
      <c r="AP319" s="24">
        <v>-0.65033407572383073</v>
      </c>
      <c r="AQ319" s="73">
        <v>-0.96875</v>
      </c>
      <c r="AR319" s="73">
        <v>-0.84905660377358494</v>
      </c>
      <c r="AS319" s="73">
        <v>-0.55737704918032782</v>
      </c>
      <c r="AT319" s="73">
        <v>-1.3636363636363638</v>
      </c>
      <c r="AU319" s="24">
        <v>-0.79617834394904463</v>
      </c>
      <c r="AV319" s="73">
        <v>4</v>
      </c>
      <c r="AW319" s="73">
        <v>2.75</v>
      </c>
      <c r="AX319" s="73">
        <v>-0.18518518518518523</v>
      </c>
      <c r="AY319" s="73">
        <v>-4.75</v>
      </c>
      <c r="AZ319" s="24">
        <v>1.25</v>
      </c>
      <c r="BA319" s="73">
        <v>-0.6</v>
      </c>
    </row>
    <row r="320" spans="1:53" s="36" customFormat="1">
      <c r="A320" s="69" t="s">
        <v>42</v>
      </c>
      <c r="B320" s="37">
        <v>585</v>
      </c>
      <c r="C320" s="70">
        <v>163</v>
      </c>
      <c r="D320" s="70">
        <v>180</v>
      </c>
      <c r="E320" s="70">
        <v>211</v>
      </c>
      <c r="F320" s="70">
        <f>G320-E320-D320-C320</f>
        <v>128</v>
      </c>
      <c r="G320" s="37">
        <v>682</v>
      </c>
      <c r="H320" s="70">
        <v>230</v>
      </c>
      <c r="I320" s="70">
        <v>233</v>
      </c>
      <c r="J320" s="70">
        <v>231</v>
      </c>
      <c r="K320" s="70">
        <f>L320-J320-I320-H320</f>
        <v>181</v>
      </c>
      <c r="L320" s="37">
        <v>875</v>
      </c>
      <c r="M320" s="70">
        <v>259</v>
      </c>
      <c r="N320" s="70">
        <v>267</v>
      </c>
      <c r="O320" s="70">
        <v>239</v>
      </c>
      <c r="P320" s="70">
        <f>Q320-O320-N320-M320</f>
        <v>268</v>
      </c>
      <c r="Q320" s="37">
        <v>1033</v>
      </c>
      <c r="R320" s="70">
        <v>310</v>
      </c>
      <c r="S320" s="70">
        <v>279</v>
      </c>
      <c r="T320" s="70">
        <v>263</v>
      </c>
      <c r="U320" s="70">
        <f>V320-T320-S320-R320</f>
        <v>204</v>
      </c>
      <c r="V320" s="37">
        <v>1056</v>
      </c>
      <c r="W320" s="70">
        <v>216</v>
      </c>
      <c r="X320" s="70">
        <v>194</v>
      </c>
      <c r="Y320" s="70">
        <v>154</v>
      </c>
      <c r="Z320" s="70">
        <f>AA320-Y320-X320-W320</f>
        <v>134</v>
      </c>
      <c r="AA320" s="37">
        <v>698</v>
      </c>
      <c r="AB320" s="70">
        <v>153</v>
      </c>
      <c r="AC320" s="70">
        <v>161</v>
      </c>
      <c r="AD320" s="70">
        <v>140</v>
      </c>
      <c r="AE320" s="70">
        <f>AF320-AD320-AC320-AB320</f>
        <v>67</v>
      </c>
      <c r="AF320" s="37">
        <v>521</v>
      </c>
      <c r="AG320" s="70">
        <v>108</v>
      </c>
      <c r="AH320" s="70">
        <v>106</v>
      </c>
      <c r="AI320" s="70">
        <v>100</v>
      </c>
      <c r="AJ320" s="70">
        <f>AK320-AI320-AH320-AG320</f>
        <v>59</v>
      </c>
      <c r="AK320" s="37">
        <v>373</v>
      </c>
      <c r="AL320" s="70">
        <v>36</v>
      </c>
      <c r="AM320" s="70">
        <v>49</v>
      </c>
      <c r="AN320" s="70">
        <v>55</v>
      </c>
      <c r="AO320" s="70">
        <v>11</v>
      </c>
      <c r="AP320" s="37">
        <v>151</v>
      </c>
      <c r="AQ320" s="70">
        <v>13</v>
      </c>
      <c r="AR320" s="70">
        <v>13</v>
      </c>
      <c r="AS320" s="70">
        <v>32</v>
      </c>
      <c r="AT320" s="70">
        <v>3</v>
      </c>
      <c r="AU320" s="37">
        <v>61</v>
      </c>
      <c r="AV320" s="70">
        <v>16</v>
      </c>
      <c r="AW320" s="70">
        <v>34</v>
      </c>
      <c r="AX320" s="70">
        <v>24</v>
      </c>
      <c r="AY320" s="70">
        <v>21</v>
      </c>
      <c r="AZ320" s="37">
        <v>95</v>
      </c>
      <c r="BA320" s="70">
        <v>9</v>
      </c>
    </row>
    <row r="321" spans="1:53">
      <c r="A321" s="71" t="s">
        <v>7</v>
      </c>
      <c r="B321" s="24"/>
      <c r="C321" s="72"/>
      <c r="D321" s="72">
        <f>D320/C320-1</f>
        <v>0.10429447852760743</v>
      </c>
      <c r="E321" s="72">
        <f>E320/D320-1</f>
        <v>0.17222222222222228</v>
      </c>
      <c r="F321" s="72">
        <f>F320/E320-1</f>
        <v>-0.39336492890995256</v>
      </c>
      <c r="G321" s="24"/>
      <c r="H321" s="72">
        <f>H320/F320-1</f>
        <v>0.796875</v>
      </c>
      <c r="I321" s="72">
        <f>I320/H320-1</f>
        <v>1.304347826086949E-2</v>
      </c>
      <c r="J321" s="72">
        <f>J320/I320-1</f>
        <v>-8.5836909871244149E-3</v>
      </c>
      <c r="K321" s="72">
        <f>K320/J320-1</f>
        <v>-0.21645021645021645</v>
      </c>
      <c r="L321" s="24"/>
      <c r="M321" s="72">
        <f>M320/K320-1</f>
        <v>0.43093922651933703</v>
      </c>
      <c r="N321" s="72">
        <f>N320/M320-1</f>
        <v>3.0888030888030826E-2</v>
      </c>
      <c r="O321" s="72">
        <f>O320/N320-1</f>
        <v>-0.10486891385767794</v>
      </c>
      <c r="P321" s="72">
        <f>P320/O320-1</f>
        <v>0.12133891213389125</v>
      </c>
      <c r="Q321" s="24"/>
      <c r="R321" s="72">
        <f>R320/P320-1</f>
        <v>0.15671641791044766</v>
      </c>
      <c r="S321" s="72">
        <f>S320/R320-1</f>
        <v>-9.9999999999999978E-2</v>
      </c>
      <c r="T321" s="72">
        <f>T320/S320-1</f>
        <v>-5.7347670250896043E-2</v>
      </c>
      <c r="U321" s="72">
        <f>U320/T320-1</f>
        <v>-0.2243346007604563</v>
      </c>
      <c r="V321" s="24"/>
      <c r="W321" s="72">
        <f>W320/U320-1</f>
        <v>5.8823529411764719E-2</v>
      </c>
      <c r="X321" s="72">
        <f>X320/W320-1</f>
        <v>-0.10185185185185186</v>
      </c>
      <c r="Y321" s="72">
        <f>Y320/X320-1</f>
        <v>-0.20618556701030932</v>
      </c>
      <c r="Z321" s="72">
        <f>Z320/Y320-1</f>
        <v>-0.12987012987012991</v>
      </c>
      <c r="AA321" s="24"/>
      <c r="AB321" s="72">
        <f>AB320/Z320-1</f>
        <v>0.14179104477611948</v>
      </c>
      <c r="AC321" s="72">
        <f>AC320/AB320-1</f>
        <v>5.2287581699346442E-2</v>
      </c>
      <c r="AD321" s="72">
        <f>AD320/AC320-1</f>
        <v>-0.13043478260869568</v>
      </c>
      <c r="AE321" s="72">
        <f>AE320/AD320-1</f>
        <v>-0.52142857142857135</v>
      </c>
      <c r="AF321" s="24"/>
      <c r="AG321" s="72">
        <f>AG320/AE320-1</f>
        <v>0.61194029850746268</v>
      </c>
      <c r="AH321" s="72">
        <f>AH320/AG320-1</f>
        <v>-1.851851851851849E-2</v>
      </c>
      <c r="AI321" s="72">
        <f>AI320/AH320-1</f>
        <v>-5.6603773584905648E-2</v>
      </c>
      <c r="AJ321" s="72">
        <f>AJ320/AI320-1</f>
        <v>-0.41000000000000003</v>
      </c>
      <c r="AK321" s="24"/>
      <c r="AL321" s="72">
        <v>-0.38983050847457623</v>
      </c>
      <c r="AM321" s="72">
        <v>0.36111111111111116</v>
      </c>
      <c r="AN321" s="72">
        <v>0.12244897959183665</v>
      </c>
      <c r="AO321" s="72">
        <v>-0.8</v>
      </c>
      <c r="AP321" s="24"/>
      <c r="AQ321" s="72">
        <v>0.18181818181818188</v>
      </c>
      <c r="AR321" s="72">
        <v>0</v>
      </c>
      <c r="AS321" s="72">
        <v>1.4615384615384617</v>
      </c>
      <c r="AT321" s="72">
        <v>-0.90625</v>
      </c>
      <c r="AU321" s="24"/>
      <c r="AV321" s="72">
        <v>4.333333333333333</v>
      </c>
      <c r="AW321" s="72">
        <v>1.125</v>
      </c>
      <c r="AX321" s="72">
        <v>-0.29411764705882348</v>
      </c>
      <c r="AY321" s="72">
        <v>-0.125</v>
      </c>
      <c r="AZ321" s="24"/>
      <c r="BA321" s="72">
        <v>-0.5714285714285714</v>
      </c>
    </row>
    <row r="322" spans="1:53">
      <c r="A322" s="71" t="s">
        <v>8</v>
      </c>
      <c r="B322" s="24"/>
      <c r="C322" s="73"/>
      <c r="D322" s="73"/>
      <c r="E322" s="73"/>
      <c r="F322" s="73"/>
      <c r="G322" s="24">
        <f t="shared" ref="G322:N322" si="307">G320/B320-1</f>
        <v>0.16581196581196589</v>
      </c>
      <c r="H322" s="73">
        <f t="shared" si="307"/>
        <v>0.41104294478527614</v>
      </c>
      <c r="I322" s="73">
        <f t="shared" si="307"/>
        <v>0.29444444444444451</v>
      </c>
      <c r="J322" s="73">
        <f t="shared" si="307"/>
        <v>9.4786729857819996E-2</v>
      </c>
      <c r="K322" s="73">
        <f t="shared" si="307"/>
        <v>0.4140625</v>
      </c>
      <c r="L322" s="24">
        <f t="shared" si="307"/>
        <v>0.28299120234604103</v>
      </c>
      <c r="M322" s="73">
        <f t="shared" si="307"/>
        <v>0.12608695652173907</v>
      </c>
      <c r="N322" s="73">
        <f t="shared" si="307"/>
        <v>0.14592274678111594</v>
      </c>
      <c r="O322" s="73">
        <f t="shared" ref="O322:Y322" si="308">O320/J320-1</f>
        <v>3.463203463203457E-2</v>
      </c>
      <c r="P322" s="73">
        <f t="shared" si="308"/>
        <v>0.48066298342541436</v>
      </c>
      <c r="Q322" s="24">
        <f t="shared" si="308"/>
        <v>0.1805714285714286</v>
      </c>
      <c r="R322" s="73">
        <f t="shared" si="308"/>
        <v>0.19691119691119696</v>
      </c>
      <c r="S322" s="73">
        <f t="shared" si="308"/>
        <v>4.4943820224719211E-2</v>
      </c>
      <c r="T322" s="73">
        <f t="shared" si="308"/>
        <v>0.10041841004184104</v>
      </c>
      <c r="U322" s="73">
        <f t="shared" si="308"/>
        <v>-0.23880597014925375</v>
      </c>
      <c r="V322" s="24">
        <f t="shared" si="308"/>
        <v>2.2265246853823806E-2</v>
      </c>
      <c r="W322" s="73">
        <f t="shared" si="308"/>
        <v>-0.3032258064516129</v>
      </c>
      <c r="X322" s="73">
        <f t="shared" si="308"/>
        <v>-0.30465949820788529</v>
      </c>
      <c r="Y322" s="73">
        <f t="shared" si="308"/>
        <v>-0.4144486692015209</v>
      </c>
      <c r="Z322" s="73">
        <f t="shared" ref="Z322:AI322" si="309">Z320/U320-1</f>
        <v>-0.34313725490196079</v>
      </c>
      <c r="AA322" s="24">
        <f t="shared" si="309"/>
        <v>-0.33901515151515149</v>
      </c>
      <c r="AB322" s="73">
        <f t="shared" si="309"/>
        <v>-0.29166666666666663</v>
      </c>
      <c r="AC322" s="73">
        <f t="shared" si="309"/>
        <v>-0.17010309278350511</v>
      </c>
      <c r="AD322" s="73">
        <f t="shared" si="309"/>
        <v>-9.0909090909090939E-2</v>
      </c>
      <c r="AE322" s="73">
        <f t="shared" si="309"/>
        <v>-0.5</v>
      </c>
      <c r="AF322" s="24">
        <f t="shared" si="309"/>
        <v>-0.25358166189111753</v>
      </c>
      <c r="AG322" s="73">
        <f t="shared" si="309"/>
        <v>-0.29411764705882348</v>
      </c>
      <c r="AH322" s="73">
        <f t="shared" si="309"/>
        <v>-0.34161490683229812</v>
      </c>
      <c r="AI322" s="73">
        <f t="shared" si="309"/>
        <v>-0.2857142857142857</v>
      </c>
      <c r="AJ322" s="73">
        <f t="shared" ref="AJ322:AS322" si="310">AJ320/AE320-1</f>
        <v>-0.11940298507462688</v>
      </c>
      <c r="AK322" s="24">
        <v>-0.28406909788867563</v>
      </c>
      <c r="AL322" s="73">
        <v>-0.66666666666666674</v>
      </c>
      <c r="AM322" s="73">
        <v>-0.53773584905660377</v>
      </c>
      <c r="AN322" s="73">
        <v>-0.44999999999999996</v>
      </c>
      <c r="AO322" s="73">
        <v>-0.81355932203389836</v>
      </c>
      <c r="AP322" s="24">
        <v>-0.5951742627345844</v>
      </c>
      <c r="AQ322" s="73">
        <v>-0.63888888888888884</v>
      </c>
      <c r="AR322" s="73">
        <v>-0.73469387755102034</v>
      </c>
      <c r="AS322" s="73">
        <v>-0.41818181818181821</v>
      </c>
      <c r="AT322" s="73">
        <v>-0.72727272727272729</v>
      </c>
      <c r="AU322" s="24">
        <v>-0.5960264900662251</v>
      </c>
      <c r="AV322" s="73">
        <v>0.23076923076923084</v>
      </c>
      <c r="AW322" s="73">
        <v>1.6153846153846154</v>
      </c>
      <c r="AX322" s="73">
        <v>-0.25</v>
      </c>
      <c r="AY322" s="73">
        <v>6</v>
      </c>
      <c r="AZ322" s="24">
        <v>0.55737704918032782</v>
      </c>
      <c r="BA322" s="73">
        <v>-0.4375</v>
      </c>
    </row>
    <row r="323" spans="1:53" s="36" customFormat="1">
      <c r="A323" s="69" t="s">
        <v>273</v>
      </c>
      <c r="B323" s="37">
        <f>B314+B317</f>
        <v>1284</v>
      </c>
      <c r="C323" s="77">
        <f>C314+C317</f>
        <v>344</v>
      </c>
      <c r="D323" s="77">
        <f>D314+D317</f>
        <v>396</v>
      </c>
      <c r="E323" s="77">
        <f>E314+E317</f>
        <v>422</v>
      </c>
      <c r="F323" s="70">
        <f>G323-E323-D323-C323</f>
        <v>294</v>
      </c>
      <c r="G323" s="37">
        <f>G314+G317</f>
        <v>1456</v>
      </c>
      <c r="H323" s="77">
        <f>H314+H317</f>
        <v>441</v>
      </c>
      <c r="I323" s="77">
        <f>I314+I317</f>
        <v>472</v>
      </c>
      <c r="J323" s="77">
        <f>J314+J317</f>
        <v>471</v>
      </c>
      <c r="K323" s="70">
        <f>L323-J323-I323-H323</f>
        <v>410</v>
      </c>
      <c r="L323" s="37">
        <v>1794</v>
      </c>
      <c r="M323" s="77">
        <f>M314+M317</f>
        <v>471</v>
      </c>
      <c r="N323" s="77">
        <f>N314+N317</f>
        <v>511</v>
      </c>
      <c r="O323" s="77">
        <f>O314+O317</f>
        <v>505</v>
      </c>
      <c r="P323" s="70">
        <f>Q323-O323-N323-M323</f>
        <v>497</v>
      </c>
      <c r="Q323" s="37">
        <f>Q317+Q314</f>
        <v>1984</v>
      </c>
      <c r="R323" s="77">
        <v>539</v>
      </c>
      <c r="S323" s="77">
        <f>S314+S317</f>
        <v>500</v>
      </c>
      <c r="T323" s="77">
        <f>T314+T317</f>
        <v>481</v>
      </c>
      <c r="U323" s="70">
        <f>V323-T323-S323-R323</f>
        <v>401</v>
      </c>
      <c r="V323" s="37">
        <f>V317+V314</f>
        <v>1921</v>
      </c>
      <c r="W323" s="77">
        <f>W317+W314</f>
        <v>402</v>
      </c>
      <c r="X323" s="77">
        <f>X317+X314</f>
        <v>396</v>
      </c>
      <c r="Y323" s="77">
        <f>Y317+Y314</f>
        <v>329</v>
      </c>
      <c r="Z323" s="70">
        <f>AA323-Y323-X323-W323</f>
        <v>296</v>
      </c>
      <c r="AA323" s="37">
        <f>AA317+AA314</f>
        <v>1423</v>
      </c>
      <c r="AB323" s="77">
        <f>AB317+AB314</f>
        <v>295</v>
      </c>
      <c r="AC323" s="77">
        <f>AC317+AC314</f>
        <v>299</v>
      </c>
      <c r="AD323" s="77">
        <f>AD317+AD314</f>
        <v>283</v>
      </c>
      <c r="AE323" s="70">
        <f>AF323-AD323-AC323-AB323</f>
        <v>188</v>
      </c>
      <c r="AF323" s="37">
        <v>1065</v>
      </c>
      <c r="AG323" s="77">
        <f>AG317+AG314</f>
        <v>232</v>
      </c>
      <c r="AH323" s="77">
        <f>AH317+AH314</f>
        <v>232</v>
      </c>
      <c r="AI323" s="77">
        <v>231</v>
      </c>
      <c r="AJ323" s="70">
        <f>AK323-AI323-AH323-AG323</f>
        <v>184</v>
      </c>
      <c r="AK323" s="37">
        <v>879</v>
      </c>
      <c r="AL323" s="77">
        <v>136</v>
      </c>
      <c r="AM323" s="77">
        <v>159</v>
      </c>
      <c r="AN323" s="77">
        <v>170</v>
      </c>
      <c r="AO323" s="70">
        <v>111</v>
      </c>
      <c r="AP323" s="37">
        <v>576</v>
      </c>
      <c r="AQ323" s="77">
        <v>105</v>
      </c>
      <c r="AR323" s="77">
        <v>103</v>
      </c>
      <c r="AS323" s="77">
        <v>119</v>
      </c>
      <c r="AT323" s="70">
        <v>85</v>
      </c>
      <c r="AU323" s="37">
        <v>412</v>
      </c>
      <c r="AV323" s="77">
        <v>99</v>
      </c>
      <c r="AW323" s="77">
        <v>129</v>
      </c>
      <c r="AX323" s="77">
        <v>122</v>
      </c>
      <c r="AY323" s="70">
        <v>105</v>
      </c>
      <c r="AZ323" s="37">
        <v>455</v>
      </c>
      <c r="BA323" s="77">
        <v>160</v>
      </c>
    </row>
    <row r="324" spans="1:53">
      <c r="A324" s="71" t="s">
        <v>7</v>
      </c>
      <c r="B324" s="24"/>
      <c r="C324" s="72"/>
      <c r="D324" s="72">
        <f>D323/C323-1</f>
        <v>0.15116279069767447</v>
      </c>
      <c r="E324" s="72">
        <f>E323/D323-1</f>
        <v>6.5656565656565746E-2</v>
      </c>
      <c r="F324" s="72">
        <f>F323/E323-1</f>
        <v>-0.30331753554502372</v>
      </c>
      <c r="G324" s="24"/>
      <c r="H324" s="72">
        <f>H323/F323-1</f>
        <v>0.5</v>
      </c>
      <c r="I324" s="72">
        <f>I323/H323-1</f>
        <v>7.029478458049887E-2</v>
      </c>
      <c r="J324" s="72">
        <f>J323/I323-1</f>
        <v>-2.1186440677966045E-3</v>
      </c>
      <c r="K324" s="72">
        <f>K323/J323-1</f>
        <v>-0.12951167728237789</v>
      </c>
      <c r="L324" s="24"/>
      <c r="M324" s="72">
        <f>M323/K323-1</f>
        <v>0.14878048780487796</v>
      </c>
      <c r="N324" s="72">
        <f>N323/M323-1</f>
        <v>8.4925690021231404E-2</v>
      </c>
      <c r="O324" s="72">
        <f>O323/N323-1</f>
        <v>-1.1741682974559686E-2</v>
      </c>
      <c r="P324" s="72">
        <f>P323/O323-1</f>
        <v>-1.5841584158415856E-2</v>
      </c>
      <c r="Q324" s="24"/>
      <c r="R324" s="72">
        <f>R323/P323-1</f>
        <v>8.4507042253521236E-2</v>
      </c>
      <c r="S324" s="72">
        <f>S323/R323-1</f>
        <v>-7.235621521335811E-2</v>
      </c>
      <c r="T324" s="72">
        <f>T323/S323-1</f>
        <v>-3.8000000000000034E-2</v>
      </c>
      <c r="U324" s="72">
        <f>U323/T323-1</f>
        <v>-0.16632016632016633</v>
      </c>
      <c r="V324" s="24"/>
      <c r="W324" s="72">
        <f>W323/U323-1</f>
        <v>2.4937655860348684E-3</v>
      </c>
      <c r="X324" s="72">
        <f>X323/W323-1</f>
        <v>-1.4925373134328401E-2</v>
      </c>
      <c r="Y324" s="72">
        <f>Y323/X323-1</f>
        <v>-0.16919191919191923</v>
      </c>
      <c r="Z324" s="72">
        <f>Z323/Y323-1</f>
        <v>-0.10030395136778114</v>
      </c>
      <c r="AA324" s="24"/>
      <c r="AB324" s="72">
        <f>AB323/Z323-1</f>
        <v>-3.3783783783783994E-3</v>
      </c>
      <c r="AC324" s="72">
        <f>AC323/AB323-1</f>
        <v>1.3559322033898313E-2</v>
      </c>
      <c r="AD324" s="72">
        <f>AD323/AC323-1</f>
        <v>-5.3511705685618693E-2</v>
      </c>
      <c r="AE324" s="72">
        <f>AE323/AD323-1</f>
        <v>-0.33568904593639581</v>
      </c>
      <c r="AF324" s="24"/>
      <c r="AG324" s="72">
        <f>AG323/AE323-1</f>
        <v>0.23404255319148937</v>
      </c>
      <c r="AH324" s="72">
        <f>AH323/AG323-1</f>
        <v>0</v>
      </c>
      <c r="AI324" s="72">
        <f>AI323/AH323-1</f>
        <v>-4.3103448275861878E-3</v>
      </c>
      <c r="AJ324" s="72">
        <f>AJ323/AI323-1</f>
        <v>-0.20346320346320346</v>
      </c>
      <c r="AK324" s="24"/>
      <c r="AL324" s="72">
        <v>-0.26086956521739135</v>
      </c>
      <c r="AM324" s="72">
        <v>0.16911764705882359</v>
      </c>
      <c r="AN324" s="72">
        <v>6.9182389937106903E-2</v>
      </c>
      <c r="AO324" s="72">
        <v>-0.34705882352941175</v>
      </c>
      <c r="AP324" s="24"/>
      <c r="AQ324" s="72">
        <v>-5.4054054054054057E-2</v>
      </c>
      <c r="AR324" s="72">
        <v>-1.9047619047619091E-2</v>
      </c>
      <c r="AS324" s="72">
        <v>0.15533980582524265</v>
      </c>
      <c r="AT324" s="72">
        <v>-0.2857142857142857</v>
      </c>
      <c r="AU324" s="24"/>
      <c r="AV324" s="72">
        <v>0.16470588235294126</v>
      </c>
      <c r="AW324" s="72">
        <v>0.30303030303030298</v>
      </c>
      <c r="AX324" s="72">
        <v>-5.4263565891472854E-2</v>
      </c>
      <c r="AY324" s="72">
        <v>-0.13934426229508201</v>
      </c>
      <c r="AZ324" s="24"/>
      <c r="BA324" s="72">
        <v>0.52380952380952372</v>
      </c>
    </row>
    <row r="325" spans="1:53">
      <c r="A325" s="71" t="s">
        <v>8</v>
      </c>
      <c r="B325" s="24"/>
      <c r="C325" s="73"/>
      <c r="D325" s="73"/>
      <c r="E325" s="73"/>
      <c r="F325" s="73"/>
      <c r="G325" s="24">
        <f t="shared" ref="G325:N325" si="311">G323/B323-1</f>
        <v>0.13395638629283479</v>
      </c>
      <c r="H325" s="73">
        <f t="shared" si="311"/>
        <v>0.28197674418604657</v>
      </c>
      <c r="I325" s="73">
        <f t="shared" si="311"/>
        <v>0.19191919191919182</v>
      </c>
      <c r="J325" s="73">
        <f t="shared" si="311"/>
        <v>0.11611374407582931</v>
      </c>
      <c r="K325" s="73">
        <f t="shared" si="311"/>
        <v>0.39455782312925169</v>
      </c>
      <c r="L325" s="24">
        <f t="shared" si="311"/>
        <v>0.23214285714285721</v>
      </c>
      <c r="M325" s="73">
        <f t="shared" si="311"/>
        <v>6.8027210884353817E-2</v>
      </c>
      <c r="N325" s="73">
        <f t="shared" si="311"/>
        <v>8.2627118644067687E-2</v>
      </c>
      <c r="O325" s="73">
        <f t="shared" ref="O325:Y325" si="312">O323/J323-1</f>
        <v>7.2186836518046693E-2</v>
      </c>
      <c r="P325" s="73">
        <f t="shared" si="312"/>
        <v>0.21219512195121948</v>
      </c>
      <c r="Q325" s="24">
        <f t="shared" si="312"/>
        <v>0.10590858416945381</v>
      </c>
      <c r="R325" s="73">
        <f t="shared" si="312"/>
        <v>0.14437367303609339</v>
      </c>
      <c r="S325" s="73">
        <f t="shared" si="312"/>
        <v>-2.1526418786692814E-2</v>
      </c>
      <c r="T325" s="73">
        <f t="shared" si="312"/>
        <v>-4.7524752475247567E-2</v>
      </c>
      <c r="U325" s="73">
        <f t="shared" si="312"/>
        <v>-0.19315895372233405</v>
      </c>
      <c r="V325" s="24">
        <f t="shared" si="312"/>
        <v>-3.1754032258064502E-2</v>
      </c>
      <c r="W325" s="73">
        <f t="shared" si="312"/>
        <v>-0.25417439703153988</v>
      </c>
      <c r="X325" s="73">
        <f t="shared" si="312"/>
        <v>-0.20799999999999996</v>
      </c>
      <c r="Y325" s="73">
        <f t="shared" si="312"/>
        <v>-0.31600831600831603</v>
      </c>
      <c r="Z325" s="73">
        <f t="shared" ref="Z325:AI325" si="313">Z323/U323-1</f>
        <v>-0.26184538653366585</v>
      </c>
      <c r="AA325" s="24">
        <f t="shared" si="313"/>
        <v>-0.25923997917751174</v>
      </c>
      <c r="AB325" s="73">
        <f t="shared" si="313"/>
        <v>-0.26616915422885568</v>
      </c>
      <c r="AC325" s="73">
        <f t="shared" si="313"/>
        <v>-0.24494949494949492</v>
      </c>
      <c r="AD325" s="73">
        <f t="shared" si="313"/>
        <v>-0.13981762917933127</v>
      </c>
      <c r="AE325" s="73">
        <f t="shared" si="313"/>
        <v>-0.36486486486486491</v>
      </c>
      <c r="AF325" s="24">
        <f t="shared" si="313"/>
        <v>-0.25158116654954321</v>
      </c>
      <c r="AG325" s="73">
        <f t="shared" si="313"/>
        <v>-0.21355932203389827</v>
      </c>
      <c r="AH325" s="73">
        <f t="shared" si="313"/>
        <v>-0.22408026755852839</v>
      </c>
      <c r="AI325" s="73">
        <f t="shared" si="313"/>
        <v>-0.18374558303886923</v>
      </c>
      <c r="AJ325" s="73">
        <f t="shared" ref="AJ325:AS325" si="314">AJ323/AE323-1</f>
        <v>-2.1276595744680882E-2</v>
      </c>
      <c r="AK325" s="24">
        <v>-0.17464788732394365</v>
      </c>
      <c r="AL325" s="73">
        <v>-0.41379310344827591</v>
      </c>
      <c r="AM325" s="73">
        <v>-0.31465517241379315</v>
      </c>
      <c r="AN325" s="73">
        <v>-0.26406926406926412</v>
      </c>
      <c r="AO325" s="73">
        <v>-0.39673913043478259</v>
      </c>
      <c r="AP325" s="24">
        <v>-0.34470989761092152</v>
      </c>
      <c r="AQ325" s="73">
        <v>-0.2279411764705882</v>
      </c>
      <c r="AR325" s="73">
        <v>-0.35220125786163525</v>
      </c>
      <c r="AS325" s="73">
        <v>-0.30000000000000004</v>
      </c>
      <c r="AT325" s="73">
        <v>-0.23423423423423428</v>
      </c>
      <c r="AU325" s="24">
        <v>-0.28472222222222221</v>
      </c>
      <c r="AV325" s="73">
        <v>-5.7142857142857162E-2</v>
      </c>
      <c r="AW325" s="73">
        <v>0.25242718446601953</v>
      </c>
      <c r="AX325" s="73">
        <v>2.5210084033613356E-2</v>
      </c>
      <c r="AY325" s="73">
        <v>0.23529411764705888</v>
      </c>
      <c r="AZ325" s="24">
        <v>0.10436893203883502</v>
      </c>
      <c r="BA325" s="73">
        <v>0.61616161616161613</v>
      </c>
    </row>
    <row r="326" spans="1:53">
      <c r="A326" s="69" t="s">
        <v>275</v>
      </c>
      <c r="B326" s="24"/>
      <c r="C326" s="73"/>
      <c r="D326" s="73"/>
      <c r="E326" s="73"/>
      <c r="F326" s="73"/>
      <c r="G326" s="24"/>
      <c r="H326" s="73"/>
      <c r="I326" s="73"/>
      <c r="J326" s="73"/>
      <c r="K326" s="73"/>
      <c r="L326" s="24"/>
      <c r="M326" s="73"/>
      <c r="N326" s="73"/>
      <c r="O326" s="73"/>
      <c r="P326" s="73"/>
      <c r="Q326" s="24"/>
      <c r="R326" s="73"/>
      <c r="S326" s="73"/>
      <c r="T326" s="73"/>
      <c r="U326" s="73"/>
      <c r="V326" s="24"/>
      <c r="W326" s="73"/>
      <c r="X326" s="73"/>
      <c r="Y326" s="73"/>
      <c r="Z326" s="73"/>
      <c r="AA326" s="24"/>
      <c r="AB326" s="73"/>
      <c r="AC326" s="73"/>
      <c r="AD326" s="73"/>
      <c r="AE326" s="73"/>
      <c r="AF326" s="24"/>
      <c r="AG326" s="73"/>
      <c r="AH326" s="73"/>
      <c r="AI326" s="73"/>
      <c r="AJ326" s="73"/>
      <c r="AK326" s="24"/>
      <c r="AL326" s="73"/>
      <c r="AM326" s="73"/>
      <c r="AN326" s="73"/>
      <c r="AO326" s="73"/>
      <c r="AP326" s="24"/>
      <c r="AQ326" s="73"/>
      <c r="AR326" s="73"/>
      <c r="AS326" s="73"/>
      <c r="AT326" s="73"/>
      <c r="AU326" s="24"/>
      <c r="AV326" s="73"/>
      <c r="AW326" s="73"/>
      <c r="AX326" s="73"/>
      <c r="AY326" s="73"/>
      <c r="AZ326" s="24"/>
      <c r="BA326" s="77">
        <v>98</v>
      </c>
    </row>
    <row r="327" spans="1:53">
      <c r="A327" s="40" t="s">
        <v>26</v>
      </c>
      <c r="B327" s="41"/>
      <c r="C327" s="53"/>
      <c r="D327" s="53"/>
      <c r="E327" s="53"/>
      <c r="F327" s="53"/>
      <c r="G327" s="41"/>
      <c r="H327" s="53"/>
      <c r="I327" s="53"/>
      <c r="J327" s="53"/>
      <c r="K327" s="53"/>
      <c r="L327" s="41"/>
      <c r="M327" s="53"/>
      <c r="N327" s="53"/>
      <c r="O327" s="53"/>
      <c r="P327" s="53"/>
      <c r="Q327" s="41"/>
      <c r="R327" s="53"/>
      <c r="S327" s="53"/>
      <c r="T327" s="53"/>
      <c r="U327" s="53"/>
      <c r="V327" s="41"/>
      <c r="W327" s="53"/>
      <c r="X327" s="53"/>
      <c r="Y327" s="53"/>
      <c r="Z327" s="53"/>
      <c r="AA327" s="41"/>
      <c r="AB327" s="53"/>
      <c r="AC327" s="53"/>
      <c r="AD327" s="53"/>
      <c r="AE327" s="53"/>
      <c r="AF327" s="41"/>
      <c r="AG327" s="53"/>
      <c r="AH327" s="53"/>
      <c r="AI327" s="53"/>
      <c r="AJ327" s="53"/>
      <c r="AK327" s="41"/>
      <c r="AL327" s="53"/>
      <c r="AM327" s="53"/>
      <c r="AN327" s="53"/>
      <c r="AO327" s="53"/>
      <c r="AP327" s="41"/>
      <c r="AQ327" s="53"/>
      <c r="AR327" s="53"/>
      <c r="AS327" s="53"/>
      <c r="AT327" s="53"/>
      <c r="AU327" s="41"/>
      <c r="AV327" s="53"/>
      <c r="AW327" s="53"/>
      <c r="AX327" s="53"/>
      <c r="AY327" s="53"/>
      <c r="AZ327" s="41"/>
      <c r="BA327" s="53"/>
    </row>
    <row r="328" spans="1:53" s="36" customFormat="1">
      <c r="A328" s="69" t="s">
        <v>12</v>
      </c>
      <c r="B328" s="65">
        <v>1228</v>
      </c>
      <c r="C328" s="70">
        <v>256</v>
      </c>
      <c r="D328" s="70">
        <v>344</v>
      </c>
      <c r="E328" s="70">
        <v>379</v>
      </c>
      <c r="F328" s="70">
        <f>G328-E328-D328-C328</f>
        <v>298</v>
      </c>
      <c r="G328" s="65">
        <v>1277</v>
      </c>
      <c r="H328" s="70">
        <v>375</v>
      </c>
      <c r="I328" s="70">
        <v>290</v>
      </c>
      <c r="J328" s="70">
        <v>395</v>
      </c>
      <c r="K328" s="70">
        <f>L328-J328-I328-H328</f>
        <v>55</v>
      </c>
      <c r="L328" s="65">
        <v>1115</v>
      </c>
      <c r="M328" s="70">
        <v>350</v>
      </c>
      <c r="N328" s="70">
        <v>378</v>
      </c>
      <c r="O328" s="70">
        <v>400</v>
      </c>
      <c r="P328" s="70">
        <f>Q328-O328-N328-M328</f>
        <v>91</v>
      </c>
      <c r="Q328" s="65">
        <v>1219</v>
      </c>
      <c r="R328" s="70">
        <v>308</v>
      </c>
      <c r="S328" s="70">
        <v>101</v>
      </c>
      <c r="T328" s="70">
        <v>168</v>
      </c>
      <c r="U328" s="70">
        <f>V328-T328-S328-R328</f>
        <v>223</v>
      </c>
      <c r="V328" s="65">
        <v>800</v>
      </c>
      <c r="W328" s="70">
        <v>294</v>
      </c>
      <c r="X328" s="70">
        <v>556</v>
      </c>
      <c r="Y328" s="70">
        <v>490</v>
      </c>
      <c r="Z328" s="70">
        <f>AA328-Y328-X328-W328</f>
        <v>388</v>
      </c>
      <c r="AA328" s="65">
        <v>1728</v>
      </c>
      <c r="AB328" s="70">
        <v>354</v>
      </c>
      <c r="AC328" s="70">
        <v>468</v>
      </c>
      <c r="AD328" s="70">
        <v>442</v>
      </c>
      <c r="AE328" s="70">
        <f>AF328-AD328-AC328-AB328</f>
        <v>327</v>
      </c>
      <c r="AF328" s="65">
        <v>1591</v>
      </c>
      <c r="AG328" s="70">
        <v>349</v>
      </c>
      <c r="AH328" s="70">
        <v>420</v>
      </c>
      <c r="AI328" s="70">
        <v>286</v>
      </c>
      <c r="AJ328" s="70">
        <f>AK328-AI328-AH328-AG328</f>
        <v>158</v>
      </c>
      <c r="AK328" s="65">
        <v>1213</v>
      </c>
      <c r="AL328" s="70">
        <v>351</v>
      </c>
      <c r="AM328" s="70">
        <v>202</v>
      </c>
      <c r="AN328" s="70">
        <v>163</v>
      </c>
      <c r="AO328" s="70">
        <v>14</v>
      </c>
      <c r="AP328" s="65">
        <v>730</v>
      </c>
      <c r="AQ328" s="70">
        <v>185</v>
      </c>
      <c r="AR328" s="70">
        <v>180</v>
      </c>
      <c r="AS328" s="70">
        <v>152</v>
      </c>
      <c r="AT328" s="70">
        <v>65</v>
      </c>
      <c r="AU328" s="65">
        <v>582</v>
      </c>
      <c r="AV328" s="70">
        <v>117</v>
      </c>
      <c r="AW328" s="70">
        <v>193</v>
      </c>
      <c r="AX328" s="70">
        <v>209</v>
      </c>
      <c r="AY328" s="70">
        <v>86</v>
      </c>
      <c r="AZ328" s="65">
        <v>605</v>
      </c>
      <c r="BA328" s="70">
        <v>239</v>
      </c>
    </row>
    <row r="329" spans="1:53">
      <c r="A329" s="82" t="s">
        <v>7</v>
      </c>
      <c r="B329" s="24"/>
      <c r="C329" s="72"/>
      <c r="D329" s="72">
        <f>D328/C328-1</f>
        <v>0.34375</v>
      </c>
      <c r="E329" s="72">
        <f>E328/D328-1</f>
        <v>0.10174418604651159</v>
      </c>
      <c r="F329" s="72">
        <f>F328/E328-1</f>
        <v>-0.21372031662269131</v>
      </c>
      <c r="G329" s="24"/>
      <c r="H329" s="72">
        <f>H328/F328-1</f>
        <v>0.25838926174496635</v>
      </c>
      <c r="I329" s="72">
        <f>I328/H328-1</f>
        <v>-0.22666666666666668</v>
      </c>
      <c r="J329" s="72">
        <f>J328/I328-1</f>
        <v>0.36206896551724133</v>
      </c>
      <c r="K329" s="72">
        <f>K328/J328-1</f>
        <v>-0.86075949367088611</v>
      </c>
      <c r="L329" s="24"/>
      <c r="M329" s="72">
        <f>M328/K328-1</f>
        <v>5.3636363636363633</v>
      </c>
      <c r="N329" s="72">
        <f>N328/M328-1</f>
        <v>8.0000000000000071E-2</v>
      </c>
      <c r="O329" s="72">
        <f>O328/N328-1</f>
        <v>5.8201058201058142E-2</v>
      </c>
      <c r="P329" s="72">
        <f>P328/O328-1</f>
        <v>-0.77249999999999996</v>
      </c>
      <c r="Q329" s="24"/>
      <c r="R329" s="72">
        <f>R328/P328-1</f>
        <v>2.3846153846153846</v>
      </c>
      <c r="S329" s="72">
        <f>S328/R328-1</f>
        <v>-0.67207792207792205</v>
      </c>
      <c r="T329" s="72">
        <f>T328/S328-1</f>
        <v>0.66336633663366329</v>
      </c>
      <c r="U329" s="72">
        <f>U328/T328-1</f>
        <v>0.32738095238095233</v>
      </c>
      <c r="V329" s="24"/>
      <c r="W329" s="72">
        <f>W328/U328-1</f>
        <v>0.31838565022421528</v>
      </c>
      <c r="X329" s="72">
        <f>X328/W328-1</f>
        <v>0.89115646258503411</v>
      </c>
      <c r="Y329" s="72">
        <f>Y328/X328-1</f>
        <v>-0.11870503597122306</v>
      </c>
      <c r="Z329" s="72">
        <f>Z328/Y328-1</f>
        <v>-0.2081632653061225</v>
      </c>
      <c r="AA329" s="24"/>
      <c r="AB329" s="72">
        <f>AB328/Z328-1</f>
        <v>-8.7628865979381465E-2</v>
      </c>
      <c r="AC329" s="72">
        <f>AC328/AB328-1</f>
        <v>0.32203389830508478</v>
      </c>
      <c r="AD329" s="72">
        <f>AD328/AC328-1</f>
        <v>-5.555555555555558E-2</v>
      </c>
      <c r="AE329" s="72">
        <f>AE328/AD328-1</f>
        <v>-0.26018099547511309</v>
      </c>
      <c r="AF329" s="24"/>
      <c r="AG329" s="72">
        <f>AG328/AE328-1</f>
        <v>6.7278287461773667E-2</v>
      </c>
      <c r="AH329" s="72">
        <f>AH328/AG328-1</f>
        <v>0.20343839541547282</v>
      </c>
      <c r="AI329" s="72">
        <f>AI328/AH328-1</f>
        <v>-0.31904761904761902</v>
      </c>
      <c r="AJ329" s="72">
        <f>AJ328/AI328-1</f>
        <v>-0.44755244755244761</v>
      </c>
      <c r="AK329" s="24"/>
      <c r="AL329" s="72">
        <v>1.221518987341772</v>
      </c>
      <c r="AM329" s="72">
        <v>-0.42450142450142447</v>
      </c>
      <c r="AN329" s="72">
        <v>-0.19306930693069302</v>
      </c>
      <c r="AO329" s="72">
        <v>-0.91411042944785281</v>
      </c>
      <c r="AP329" s="24"/>
      <c r="AQ329" s="72">
        <v>12.214285714285714</v>
      </c>
      <c r="AR329" s="72">
        <v>-2.7027027027026973E-2</v>
      </c>
      <c r="AS329" s="72">
        <v>-0.15555555555555556</v>
      </c>
      <c r="AT329" s="72">
        <v>-0.57236842105263164</v>
      </c>
      <c r="AU329" s="24"/>
      <c r="AV329" s="72">
        <v>0.8</v>
      </c>
      <c r="AW329" s="72">
        <v>0.64957264957264949</v>
      </c>
      <c r="AX329" s="72">
        <v>8.290155440414515E-2</v>
      </c>
      <c r="AY329" s="72">
        <v>-0.58851674641148333</v>
      </c>
      <c r="AZ329" s="24"/>
      <c r="BA329" s="72">
        <v>1.7790697674418605</v>
      </c>
    </row>
    <row r="330" spans="1:53">
      <c r="A330" s="82" t="s">
        <v>8</v>
      </c>
      <c r="B330" s="24"/>
      <c r="C330" s="73"/>
      <c r="D330" s="73"/>
      <c r="E330" s="73"/>
      <c r="F330" s="73"/>
      <c r="G330" s="24">
        <f t="shared" ref="G330:N330" si="315">G328/B328-1</f>
        <v>3.9902280130293066E-2</v>
      </c>
      <c r="H330" s="73">
        <f t="shared" si="315"/>
        <v>0.46484375</v>
      </c>
      <c r="I330" s="73">
        <f t="shared" si="315"/>
        <v>-0.15697674418604646</v>
      </c>
      <c r="J330" s="73">
        <f t="shared" si="315"/>
        <v>4.2216358839050061E-2</v>
      </c>
      <c r="K330" s="73">
        <f t="shared" si="315"/>
        <v>-0.81543624161073824</v>
      </c>
      <c r="L330" s="24">
        <f t="shared" si="315"/>
        <v>-0.12685982772122162</v>
      </c>
      <c r="M330" s="73">
        <f t="shared" si="315"/>
        <v>-6.6666666666666652E-2</v>
      </c>
      <c r="N330" s="73">
        <f t="shared" si="315"/>
        <v>0.30344827586206891</v>
      </c>
      <c r="O330" s="73">
        <f t="shared" ref="O330:Y330" si="316">O328/J328-1</f>
        <v>1.2658227848101333E-2</v>
      </c>
      <c r="P330" s="73">
        <f t="shared" si="316"/>
        <v>0.65454545454545454</v>
      </c>
      <c r="Q330" s="24">
        <f t="shared" si="316"/>
        <v>9.3273542600896819E-2</v>
      </c>
      <c r="R330" s="73">
        <f t="shared" si="316"/>
        <v>-0.12</v>
      </c>
      <c r="S330" s="73">
        <f t="shared" si="316"/>
        <v>-0.73280423280423279</v>
      </c>
      <c r="T330" s="73">
        <f t="shared" si="316"/>
        <v>-0.58000000000000007</v>
      </c>
      <c r="U330" s="73">
        <f t="shared" si="316"/>
        <v>1.4505494505494507</v>
      </c>
      <c r="V330" s="24">
        <f t="shared" si="316"/>
        <v>-0.34372436423297781</v>
      </c>
      <c r="W330" s="73">
        <f t="shared" si="316"/>
        <v>-4.5454545454545414E-2</v>
      </c>
      <c r="X330" s="73">
        <f t="shared" si="316"/>
        <v>4.5049504950495045</v>
      </c>
      <c r="Y330" s="73">
        <f t="shared" si="316"/>
        <v>1.9166666666666665</v>
      </c>
      <c r="Z330" s="73">
        <f t="shared" ref="Z330:AI330" si="317">Z328/U328-1</f>
        <v>0.73991031390134521</v>
      </c>
      <c r="AA330" s="24">
        <f t="shared" si="317"/>
        <v>1.1600000000000001</v>
      </c>
      <c r="AB330" s="73">
        <f t="shared" si="317"/>
        <v>0.20408163265306123</v>
      </c>
      <c r="AC330" s="73">
        <f t="shared" si="317"/>
        <v>-0.15827338129496404</v>
      </c>
      <c r="AD330" s="73">
        <f t="shared" si="317"/>
        <v>-9.7959183673469341E-2</v>
      </c>
      <c r="AE330" s="73">
        <f t="shared" si="317"/>
        <v>-0.15721649484536082</v>
      </c>
      <c r="AF330" s="24">
        <f t="shared" si="317"/>
        <v>-7.928240740740744E-2</v>
      </c>
      <c r="AG330" s="73">
        <f t="shared" si="317"/>
        <v>-1.4124293785310771E-2</v>
      </c>
      <c r="AH330" s="73">
        <f t="shared" si="317"/>
        <v>-0.10256410256410253</v>
      </c>
      <c r="AI330" s="73">
        <f t="shared" si="317"/>
        <v>-0.3529411764705882</v>
      </c>
      <c r="AJ330" s="73">
        <f t="shared" ref="AJ330:AS330" si="318">AJ328/AE328-1</f>
        <v>-0.51681957186544336</v>
      </c>
      <c r="AK330" s="24">
        <v>-0.23758642363293525</v>
      </c>
      <c r="AL330" s="73">
        <v>5.7306590257879542E-3</v>
      </c>
      <c r="AM330" s="73">
        <v>-0.51904761904761898</v>
      </c>
      <c r="AN330" s="73">
        <v>-0.43006993006993011</v>
      </c>
      <c r="AO330" s="73">
        <v>-0.91139240506329111</v>
      </c>
      <c r="AP330" s="24">
        <v>-0.39818631492168177</v>
      </c>
      <c r="AQ330" s="73">
        <v>-0.47293447293447288</v>
      </c>
      <c r="AR330" s="73">
        <v>-0.1089108910891089</v>
      </c>
      <c r="AS330" s="73">
        <v>-6.7484662576687171E-2</v>
      </c>
      <c r="AT330" s="73">
        <v>3.6428571428571432</v>
      </c>
      <c r="AU330" s="24">
        <v>-0.20273972602739732</v>
      </c>
      <c r="AV330" s="73">
        <v>-0.36756756756756759</v>
      </c>
      <c r="AW330" s="73">
        <v>7.2222222222222188E-2</v>
      </c>
      <c r="AX330" s="73">
        <v>0.375</v>
      </c>
      <c r="AY330" s="73">
        <v>0.32307692307692304</v>
      </c>
      <c r="AZ330" s="24">
        <v>3.9518900343642693E-2</v>
      </c>
      <c r="BA330" s="73">
        <v>1.0427350427350426</v>
      </c>
    </row>
    <row r="331" spans="1:53" hidden="1">
      <c r="A331" s="69" t="s">
        <v>50</v>
      </c>
      <c r="B331" s="37">
        <f>433+7</f>
        <v>440</v>
      </c>
      <c r="C331" s="70">
        <v>108</v>
      </c>
      <c r="D331" s="70">
        <v>374</v>
      </c>
      <c r="E331" s="70">
        <v>172</v>
      </c>
      <c r="F331" s="70">
        <f>G331-E331-D331-C331</f>
        <v>257</v>
      </c>
      <c r="G331" s="37">
        <f>302+609</f>
        <v>911</v>
      </c>
      <c r="H331" s="70">
        <v>165</v>
      </c>
      <c r="I331" s="70">
        <v>127</v>
      </c>
      <c r="J331" s="70">
        <v>107</v>
      </c>
      <c r="K331" s="70">
        <f>L331-J331-I331-H331</f>
        <v>109</v>
      </c>
      <c r="L331" s="37">
        <v>508</v>
      </c>
      <c r="M331" s="70">
        <v>110</v>
      </c>
      <c r="N331" s="70">
        <v>112</v>
      </c>
      <c r="O331" s="70">
        <v>99</v>
      </c>
      <c r="P331" s="70">
        <v>110</v>
      </c>
      <c r="Q331" s="37">
        <f>P331+O331+N331+M331</f>
        <v>431</v>
      </c>
      <c r="R331" s="70">
        <v>122</v>
      </c>
      <c r="S331" s="70">
        <v>109</v>
      </c>
      <c r="T331" s="70">
        <v>98</v>
      </c>
      <c r="U331" s="70">
        <f>V331-T331-S331-R331</f>
        <v>113</v>
      </c>
      <c r="V331" s="37">
        <v>442</v>
      </c>
      <c r="W331" s="70">
        <v>121</v>
      </c>
      <c r="X331" s="70">
        <v>113</v>
      </c>
      <c r="Y331" s="70">
        <v>77</v>
      </c>
      <c r="Z331" s="70">
        <f>AA331-Y331-X331-W331</f>
        <v>86</v>
      </c>
      <c r="AA331" s="37">
        <f>342+55</f>
        <v>397</v>
      </c>
      <c r="AB331" s="70">
        <v>56</v>
      </c>
      <c r="AC331" s="70">
        <v>91</v>
      </c>
      <c r="AD331" s="70">
        <v>94</v>
      </c>
      <c r="AE331" s="70">
        <v>94</v>
      </c>
      <c r="AF331" s="37">
        <f>AE331+AD331+AC331+AB331</f>
        <v>335</v>
      </c>
      <c r="AG331" s="70">
        <v>67</v>
      </c>
      <c r="AH331" s="70">
        <v>96</v>
      </c>
      <c r="AI331" s="70">
        <v>87</v>
      </c>
      <c r="AJ331" s="70">
        <f>AK331-AI331-AH331-AG331</f>
        <v>89</v>
      </c>
      <c r="AK331" s="37">
        <v>339</v>
      </c>
      <c r="AL331" s="70">
        <v>97</v>
      </c>
      <c r="AM331" s="70">
        <v>196</v>
      </c>
      <c r="AN331" s="70">
        <v>70</v>
      </c>
      <c r="AO331" s="70">
        <v>56</v>
      </c>
      <c r="AP331" s="37">
        <v>419</v>
      </c>
      <c r="AQ331" s="70">
        <v>57</v>
      </c>
      <c r="AR331" s="70">
        <v>77</v>
      </c>
      <c r="AS331" s="70">
        <v>66</v>
      </c>
      <c r="AT331" s="70"/>
      <c r="AU331" s="37"/>
      <c r="AV331" s="70">
        <v>57</v>
      </c>
      <c r="AW331" s="70">
        <v>57</v>
      </c>
      <c r="AX331" s="70">
        <v>57</v>
      </c>
      <c r="AY331" s="70"/>
      <c r="AZ331" s="37"/>
      <c r="BA331" s="70">
        <v>57</v>
      </c>
    </row>
    <row r="332" spans="1:53" hidden="1">
      <c r="A332" s="71" t="s">
        <v>7</v>
      </c>
      <c r="B332" s="24"/>
      <c r="C332" s="72"/>
      <c r="D332" s="72">
        <f>D331/C331-1</f>
        <v>2.4629629629629628</v>
      </c>
      <c r="E332" s="72">
        <f>E331/D331-1</f>
        <v>-0.54010695187165769</v>
      </c>
      <c r="F332" s="72">
        <f>F331/E331-1</f>
        <v>0.4941860465116279</v>
      </c>
      <c r="G332" s="24"/>
      <c r="H332" s="72">
        <f>H331/F331-1</f>
        <v>-0.357976653696498</v>
      </c>
      <c r="I332" s="72">
        <f>I331/H331-1</f>
        <v>-0.23030303030303034</v>
      </c>
      <c r="J332" s="72">
        <f>J331/I331-1</f>
        <v>-0.15748031496062997</v>
      </c>
      <c r="K332" s="72">
        <f>K331/J331-1</f>
        <v>1.8691588785046731E-2</v>
      </c>
      <c r="L332" s="24"/>
      <c r="M332" s="72">
        <f>M331/K331-1</f>
        <v>9.1743119266054496E-3</v>
      </c>
      <c r="N332" s="72">
        <f>N331/M331-1</f>
        <v>1.8181818181818077E-2</v>
      </c>
      <c r="O332" s="72">
        <f>O331/N331-1</f>
        <v>-0.1160714285714286</v>
      </c>
      <c r="P332" s="72">
        <f>P331/O331-1</f>
        <v>0.11111111111111116</v>
      </c>
      <c r="Q332" s="24"/>
      <c r="R332" s="72">
        <f>R331/P331-1</f>
        <v>0.10909090909090913</v>
      </c>
      <c r="S332" s="72">
        <f>S331/R331-1</f>
        <v>-0.10655737704918034</v>
      </c>
      <c r="T332" s="72">
        <f>T331/S331-1</f>
        <v>-0.1009174311926605</v>
      </c>
      <c r="U332" s="72">
        <f>U331/T331-1</f>
        <v>0.15306122448979598</v>
      </c>
      <c r="V332" s="24"/>
      <c r="W332" s="72">
        <f>W331/U331-1</f>
        <v>7.079646017699126E-2</v>
      </c>
      <c r="X332" s="72">
        <f>X331/W331-1</f>
        <v>-6.6115702479338845E-2</v>
      </c>
      <c r="Y332" s="72">
        <f>Y331/X331-1</f>
        <v>-0.31858407079646023</v>
      </c>
      <c r="Z332" s="72">
        <f>Z331/Y331-1</f>
        <v>0.11688311688311681</v>
      </c>
      <c r="AA332" s="24"/>
      <c r="AB332" s="72">
        <f>AB331/Z331-1</f>
        <v>-0.34883720930232553</v>
      </c>
      <c r="AC332" s="72">
        <f>AC331/AB331-1</f>
        <v>0.625</v>
      </c>
      <c r="AD332" s="72">
        <f>AD331/AC331-1</f>
        <v>3.2967032967033072E-2</v>
      </c>
      <c r="AE332" s="72">
        <f>AE331/AD331-1</f>
        <v>0</v>
      </c>
      <c r="AF332" s="24"/>
      <c r="AG332" s="72">
        <f>AG331/AE331-1</f>
        <v>-0.28723404255319152</v>
      </c>
      <c r="AH332" s="72">
        <f>AH331/AG331-1</f>
        <v>0.43283582089552231</v>
      </c>
      <c r="AI332" s="72">
        <f>AI331/AH331-1</f>
        <v>-9.375E-2</v>
      </c>
      <c r="AJ332" s="72">
        <f>AJ331/AI331-1</f>
        <v>2.2988505747126409E-2</v>
      </c>
      <c r="AK332" s="24"/>
      <c r="AL332" s="72">
        <v>8.98876404494382E-2</v>
      </c>
      <c r="AM332" s="72">
        <v>1.0206185567010309</v>
      </c>
      <c r="AN332" s="72">
        <v>-0.64285714285714279</v>
      </c>
      <c r="AO332" s="72">
        <v>-0.19999999999999996</v>
      </c>
      <c r="AP332" s="24"/>
      <c r="AQ332" s="72">
        <v>1.7857142857142794E-2</v>
      </c>
      <c r="AR332" s="72">
        <v>0.35087719298245612</v>
      </c>
      <c r="AS332" s="72">
        <v>-0.1428571428571429</v>
      </c>
      <c r="AT332" s="72"/>
      <c r="AU332" s="24"/>
      <c r="AV332" s="72" t="e">
        <v>#DIV/0!</v>
      </c>
      <c r="AW332" s="72" t="e">
        <v>#DIV/0!</v>
      </c>
      <c r="AX332" s="72">
        <v>0</v>
      </c>
      <c r="AY332" s="72"/>
      <c r="AZ332" s="24"/>
      <c r="BA332" s="72" t="e">
        <v>#DIV/0!</v>
      </c>
    </row>
    <row r="333" spans="1:53" hidden="1">
      <c r="A333" s="71" t="s">
        <v>8</v>
      </c>
      <c r="B333" s="24"/>
      <c r="C333" s="73"/>
      <c r="D333" s="73"/>
      <c r="E333" s="73"/>
      <c r="F333" s="73"/>
      <c r="G333" s="24">
        <f t="shared" ref="G333:N333" si="319">G331/B331-1</f>
        <v>1.0704545454545453</v>
      </c>
      <c r="H333" s="73">
        <f t="shared" si="319"/>
        <v>0.52777777777777768</v>
      </c>
      <c r="I333" s="73">
        <f t="shared" si="319"/>
        <v>-0.66042780748663099</v>
      </c>
      <c r="J333" s="73">
        <f t="shared" si="319"/>
        <v>-0.37790697674418605</v>
      </c>
      <c r="K333" s="73">
        <f t="shared" si="319"/>
        <v>-0.57587548638132291</v>
      </c>
      <c r="L333" s="24">
        <f t="shared" si="319"/>
        <v>-0.44237102085620195</v>
      </c>
      <c r="M333" s="73">
        <f t="shared" si="319"/>
        <v>-0.33333333333333337</v>
      </c>
      <c r="N333" s="73">
        <f t="shared" si="319"/>
        <v>-0.11811023622047245</v>
      </c>
      <c r="O333" s="73">
        <f t="shared" ref="O333:Y333" si="320">O331/J331-1</f>
        <v>-7.4766355140186924E-2</v>
      </c>
      <c r="P333" s="73">
        <f t="shared" si="320"/>
        <v>9.1743119266054496E-3</v>
      </c>
      <c r="Q333" s="24">
        <f t="shared" si="320"/>
        <v>-0.15157480314960625</v>
      </c>
      <c r="R333" s="73">
        <f t="shared" si="320"/>
        <v>0.10909090909090913</v>
      </c>
      <c r="S333" s="73">
        <f t="shared" si="320"/>
        <v>-2.6785714285714302E-2</v>
      </c>
      <c r="T333" s="73">
        <f t="shared" si="320"/>
        <v>-1.0101010101010055E-2</v>
      </c>
      <c r="U333" s="73">
        <f t="shared" si="320"/>
        <v>2.7272727272727337E-2</v>
      </c>
      <c r="V333" s="24">
        <f t="shared" si="320"/>
        <v>2.5522041763341052E-2</v>
      </c>
      <c r="W333" s="73">
        <f t="shared" si="320"/>
        <v>-8.1967213114754189E-3</v>
      </c>
      <c r="X333" s="73">
        <f t="shared" si="320"/>
        <v>3.669724770642202E-2</v>
      </c>
      <c r="Y333" s="73">
        <f t="shared" si="320"/>
        <v>-0.2142857142857143</v>
      </c>
      <c r="Z333" s="73">
        <f t="shared" ref="Z333:AI333" si="321">Z331/U331-1</f>
        <v>-0.23893805309734517</v>
      </c>
      <c r="AA333" s="24">
        <f t="shared" si="321"/>
        <v>-0.10180995475113119</v>
      </c>
      <c r="AB333" s="73">
        <f t="shared" si="321"/>
        <v>-0.53719008264462809</v>
      </c>
      <c r="AC333" s="73">
        <f t="shared" si="321"/>
        <v>-0.19469026548672563</v>
      </c>
      <c r="AD333" s="73">
        <f t="shared" si="321"/>
        <v>0.22077922077922074</v>
      </c>
      <c r="AE333" s="73">
        <f t="shared" si="321"/>
        <v>9.3023255813953432E-2</v>
      </c>
      <c r="AF333" s="24">
        <f t="shared" si="321"/>
        <v>-0.15617128463476071</v>
      </c>
      <c r="AG333" s="73">
        <f t="shared" si="321"/>
        <v>0.1964285714285714</v>
      </c>
      <c r="AH333" s="73">
        <f t="shared" si="321"/>
        <v>5.4945054945054972E-2</v>
      </c>
      <c r="AI333" s="73">
        <f t="shared" si="321"/>
        <v>-7.4468085106383031E-2</v>
      </c>
      <c r="AJ333" s="73">
        <f t="shared" ref="AJ333:AS333" si="322">AJ331/AE331-1</f>
        <v>-5.3191489361702149E-2</v>
      </c>
      <c r="AK333" s="24">
        <v>1.1940298507462588E-2</v>
      </c>
      <c r="AL333" s="73">
        <v>0.44776119402985071</v>
      </c>
      <c r="AM333" s="73">
        <v>1.0416666666666665</v>
      </c>
      <c r="AN333" s="73">
        <v>-0.1954022988505747</v>
      </c>
      <c r="AO333" s="73">
        <v>-0.3707865168539326</v>
      </c>
      <c r="AP333" s="24">
        <v>0.2359882005899705</v>
      </c>
      <c r="AQ333" s="73">
        <v>-0.41237113402061853</v>
      </c>
      <c r="AR333" s="73">
        <v>-0.60714285714285721</v>
      </c>
      <c r="AS333" s="73">
        <v>-5.7142857142857162E-2</v>
      </c>
      <c r="AT333" s="73"/>
      <c r="AU333" s="24"/>
      <c r="AV333" s="73">
        <v>0</v>
      </c>
      <c r="AW333" s="73">
        <v>-0.25974025974025972</v>
      </c>
      <c r="AX333" s="73">
        <v>-0.13636363636363635</v>
      </c>
      <c r="AY333" s="73"/>
      <c r="AZ333" s="24"/>
      <c r="BA333" s="73">
        <v>0</v>
      </c>
    </row>
    <row r="334" spans="1:53">
      <c r="A334" s="69" t="s">
        <v>51</v>
      </c>
      <c r="B334" s="29">
        <f>296+85</f>
        <v>381</v>
      </c>
      <c r="C334" s="70">
        <v>103</v>
      </c>
      <c r="D334" s="70">
        <f>164+18</f>
        <v>182</v>
      </c>
      <c r="E334" s="70">
        <v>350</v>
      </c>
      <c r="F334" s="70">
        <f>G334-E334-D334-C334</f>
        <v>163</v>
      </c>
      <c r="G334" s="29">
        <f>538+260</f>
        <v>798</v>
      </c>
      <c r="H334" s="70">
        <v>149</v>
      </c>
      <c r="I334" s="70">
        <f>139+24</f>
        <v>163</v>
      </c>
      <c r="J334" s="70">
        <v>146</v>
      </c>
      <c r="K334" s="70">
        <f>L334-J334-I334-H334</f>
        <v>101</v>
      </c>
      <c r="L334" s="29">
        <f>457+102</f>
        <v>559</v>
      </c>
      <c r="M334" s="70">
        <f>68+24</f>
        <v>92</v>
      </c>
      <c r="N334" s="70">
        <f>86+28</f>
        <v>114</v>
      </c>
      <c r="O334" s="70">
        <f>73+26</f>
        <v>99</v>
      </c>
      <c r="P334" s="70">
        <f>Q334-O334-N334-M334</f>
        <v>92</v>
      </c>
      <c r="Q334" s="29">
        <f>292+105</f>
        <v>397</v>
      </c>
      <c r="R334" s="70">
        <v>133</v>
      </c>
      <c r="S334" s="70">
        <v>86</v>
      </c>
      <c r="T334" s="70">
        <f>83+24</f>
        <v>107</v>
      </c>
      <c r="U334" s="70">
        <f>V334-T334-S334-R334</f>
        <v>93</v>
      </c>
      <c r="V334" s="29">
        <f>321+98</f>
        <v>419</v>
      </c>
      <c r="W334" s="70">
        <v>115</v>
      </c>
      <c r="X334" s="70">
        <f>94+15</f>
        <v>109</v>
      </c>
      <c r="Y334" s="70">
        <v>84</v>
      </c>
      <c r="Z334" s="70">
        <f>AA334-Y334-X334-W334</f>
        <v>76</v>
      </c>
      <c r="AA334" s="98">
        <v>384</v>
      </c>
      <c r="AB334" s="70">
        <v>66</v>
      </c>
      <c r="AC334" s="70">
        <f>71+13</f>
        <v>84</v>
      </c>
      <c r="AD334" s="70">
        <v>92</v>
      </c>
      <c r="AE334" s="70">
        <f>AF334-AD334-AC334-AB334</f>
        <v>78</v>
      </c>
      <c r="AF334" s="98">
        <v>320</v>
      </c>
      <c r="AG334" s="70">
        <f>62+11</f>
        <v>73</v>
      </c>
      <c r="AH334" s="70">
        <v>90</v>
      </c>
      <c r="AI334" s="70">
        <f>71+13</f>
        <v>84</v>
      </c>
      <c r="AJ334" s="70">
        <f>AK334-AI334-AH334-AG334</f>
        <v>82</v>
      </c>
      <c r="AK334" s="98">
        <v>329</v>
      </c>
      <c r="AL334" s="70">
        <v>73</v>
      </c>
      <c r="AM334" s="70">
        <v>199</v>
      </c>
      <c r="AN334" s="70">
        <v>91</v>
      </c>
      <c r="AO334" s="70">
        <v>65</v>
      </c>
      <c r="AP334" s="98">
        <v>428</v>
      </c>
      <c r="AQ334" s="70">
        <v>52</v>
      </c>
      <c r="AR334" s="70">
        <v>63</v>
      </c>
      <c r="AS334" s="70">
        <v>64</v>
      </c>
      <c r="AT334" s="70">
        <v>64</v>
      </c>
      <c r="AU334" s="98">
        <v>243</v>
      </c>
      <c r="AV334" s="70">
        <v>73</v>
      </c>
      <c r="AW334" s="70">
        <v>82</v>
      </c>
      <c r="AX334" s="70">
        <v>78</v>
      </c>
      <c r="AY334" s="70">
        <v>77</v>
      </c>
      <c r="AZ334" s="98">
        <v>310</v>
      </c>
      <c r="BA334" s="70">
        <v>69</v>
      </c>
    </row>
    <row r="335" spans="1:53">
      <c r="A335" s="71" t="s">
        <v>7</v>
      </c>
      <c r="B335" s="24"/>
      <c r="C335" s="72"/>
      <c r="D335" s="72">
        <f>D334/C334-1</f>
        <v>0.76699029126213603</v>
      </c>
      <c r="E335" s="72">
        <f>E334/D334-1</f>
        <v>0.92307692307692313</v>
      </c>
      <c r="F335" s="72">
        <f>F334/E334-1</f>
        <v>-0.53428571428571425</v>
      </c>
      <c r="G335" s="24"/>
      <c r="H335" s="72">
        <f>H334/F334-1</f>
        <v>-8.5889570552147187E-2</v>
      </c>
      <c r="I335" s="72">
        <f>I334/H334-1</f>
        <v>9.3959731543624248E-2</v>
      </c>
      <c r="J335" s="72">
        <f>J334/I334-1</f>
        <v>-0.10429447852760731</v>
      </c>
      <c r="K335" s="72">
        <f>K334/J334-1</f>
        <v>-0.30821917808219179</v>
      </c>
      <c r="L335" s="24"/>
      <c r="M335" s="72">
        <f>M334/K334-1</f>
        <v>-8.9108910891089077E-2</v>
      </c>
      <c r="N335" s="72">
        <f>N334/M334-1</f>
        <v>0.23913043478260865</v>
      </c>
      <c r="O335" s="72">
        <f>O334/N334-1</f>
        <v>-0.13157894736842102</v>
      </c>
      <c r="P335" s="72">
        <f>P334/O334-1</f>
        <v>-7.0707070707070718E-2</v>
      </c>
      <c r="Q335" s="24"/>
      <c r="R335" s="72">
        <f>R334/P334-1</f>
        <v>0.44565217391304346</v>
      </c>
      <c r="S335" s="72">
        <f>S334/R334-1</f>
        <v>-0.35338345864661658</v>
      </c>
      <c r="T335" s="72">
        <f>T334/S334-1</f>
        <v>0.2441860465116279</v>
      </c>
      <c r="U335" s="72">
        <f>U334/T334-1</f>
        <v>-0.13084112149532712</v>
      </c>
      <c r="V335" s="24"/>
      <c r="W335" s="72">
        <f>W334/U334-1</f>
        <v>0.23655913978494625</v>
      </c>
      <c r="X335" s="72">
        <f>X334/W334-1</f>
        <v>-5.2173913043478293E-2</v>
      </c>
      <c r="Y335" s="72">
        <f>Y334/X334-1</f>
        <v>-0.22935779816513757</v>
      </c>
      <c r="Z335" s="72">
        <f>Z334/Y334-1</f>
        <v>-9.5238095238095233E-2</v>
      </c>
      <c r="AA335" s="24"/>
      <c r="AB335" s="72">
        <f>AB334/Z334-1</f>
        <v>-0.13157894736842102</v>
      </c>
      <c r="AC335" s="72">
        <f>AC334/AB334-1</f>
        <v>0.27272727272727271</v>
      </c>
      <c r="AD335" s="72">
        <f>AD334/AC334-1</f>
        <v>9.5238095238095344E-2</v>
      </c>
      <c r="AE335" s="72">
        <f>AE334/AD334-1</f>
        <v>-0.15217391304347827</v>
      </c>
      <c r="AF335" s="24"/>
      <c r="AG335" s="72">
        <f>AG334/AE334-1</f>
        <v>-6.4102564102564097E-2</v>
      </c>
      <c r="AH335" s="72">
        <f>AH334/AG334-1</f>
        <v>0.23287671232876717</v>
      </c>
      <c r="AI335" s="72">
        <f>AI334/AH334-1</f>
        <v>-6.6666666666666652E-2</v>
      </c>
      <c r="AJ335" s="72">
        <f>AJ334/AI334-1</f>
        <v>-2.3809523809523836E-2</v>
      </c>
      <c r="AK335" s="24"/>
      <c r="AL335" s="72">
        <v>-0.1097560975609756</v>
      </c>
      <c r="AM335" s="72">
        <v>1.7260273972602738</v>
      </c>
      <c r="AN335" s="72">
        <v>-0.542713567839196</v>
      </c>
      <c r="AO335" s="72">
        <v>-0.2857142857142857</v>
      </c>
      <c r="AP335" s="24"/>
      <c r="AQ335" s="72">
        <v>-0.19999999999999996</v>
      </c>
      <c r="AR335" s="72">
        <v>0.21153846153846145</v>
      </c>
      <c r="AS335" s="72">
        <v>1.5873015873015817E-2</v>
      </c>
      <c r="AT335" s="72">
        <v>0</v>
      </c>
      <c r="AU335" s="24"/>
      <c r="AV335" s="72">
        <v>0.140625</v>
      </c>
      <c r="AW335" s="72">
        <v>0.12328767123287676</v>
      </c>
      <c r="AX335" s="72">
        <v>-4.8780487804878092E-2</v>
      </c>
      <c r="AY335" s="72">
        <v>-1.2820512820512775E-2</v>
      </c>
      <c r="AZ335" s="24"/>
      <c r="BA335" s="72">
        <v>-0.10389610389610393</v>
      </c>
    </row>
    <row r="336" spans="1:53">
      <c r="A336" s="71" t="s">
        <v>8</v>
      </c>
      <c r="B336" s="24"/>
      <c r="C336" s="73"/>
      <c r="D336" s="73"/>
      <c r="E336" s="73"/>
      <c r="F336" s="73"/>
      <c r="G336" s="24">
        <f t="shared" ref="G336:N336" si="323">G334/B334-1</f>
        <v>1.0944881889763778</v>
      </c>
      <c r="H336" s="73">
        <f t="shared" si="323"/>
        <v>0.44660194174757284</v>
      </c>
      <c r="I336" s="73">
        <f t="shared" si="323"/>
        <v>-0.10439560439560436</v>
      </c>
      <c r="J336" s="73">
        <f t="shared" si="323"/>
        <v>-0.58285714285714285</v>
      </c>
      <c r="K336" s="73">
        <f t="shared" si="323"/>
        <v>-0.38036809815950923</v>
      </c>
      <c r="L336" s="24">
        <f t="shared" si="323"/>
        <v>-0.29949874686716793</v>
      </c>
      <c r="M336" s="73">
        <f t="shared" si="323"/>
        <v>-0.3825503355704698</v>
      </c>
      <c r="N336" s="73">
        <f t="shared" si="323"/>
        <v>-0.30061349693251538</v>
      </c>
      <c r="O336" s="73">
        <f t="shared" ref="O336:Y336" si="324">O334/J334-1</f>
        <v>-0.32191780821917804</v>
      </c>
      <c r="P336" s="73">
        <f t="shared" si="324"/>
        <v>-8.9108910891089077E-2</v>
      </c>
      <c r="Q336" s="24">
        <f t="shared" si="324"/>
        <v>-0.28980322003577819</v>
      </c>
      <c r="R336" s="73">
        <f t="shared" si="324"/>
        <v>0.44565217391304346</v>
      </c>
      <c r="S336" s="73">
        <f t="shared" si="324"/>
        <v>-0.24561403508771928</v>
      </c>
      <c r="T336" s="73">
        <f t="shared" si="324"/>
        <v>8.0808080808080884E-2</v>
      </c>
      <c r="U336" s="73">
        <f t="shared" si="324"/>
        <v>1.0869565217391353E-2</v>
      </c>
      <c r="V336" s="24">
        <f t="shared" si="324"/>
        <v>5.5415617128463435E-2</v>
      </c>
      <c r="W336" s="73">
        <f t="shared" si="324"/>
        <v>-0.13533834586466165</v>
      </c>
      <c r="X336" s="73">
        <f t="shared" si="324"/>
        <v>0.26744186046511631</v>
      </c>
      <c r="Y336" s="73">
        <f t="shared" si="324"/>
        <v>-0.21495327102803741</v>
      </c>
      <c r="Z336" s="73">
        <f t="shared" ref="Z336:AI336" si="325">Z334/U334-1</f>
        <v>-0.18279569892473113</v>
      </c>
      <c r="AA336" s="24">
        <f t="shared" si="325"/>
        <v>-8.3532219570405686E-2</v>
      </c>
      <c r="AB336" s="73">
        <f t="shared" si="325"/>
        <v>-0.42608695652173911</v>
      </c>
      <c r="AC336" s="73">
        <f t="shared" si="325"/>
        <v>-0.22935779816513757</v>
      </c>
      <c r="AD336" s="73">
        <f t="shared" si="325"/>
        <v>9.5238095238095344E-2</v>
      </c>
      <c r="AE336" s="73">
        <f t="shared" si="325"/>
        <v>2.6315789473684292E-2</v>
      </c>
      <c r="AF336" s="24">
        <f t="shared" si="325"/>
        <v>-0.16666666666666663</v>
      </c>
      <c r="AG336" s="73">
        <f t="shared" si="325"/>
        <v>0.10606060606060597</v>
      </c>
      <c r="AH336" s="73">
        <f t="shared" si="325"/>
        <v>7.1428571428571397E-2</v>
      </c>
      <c r="AI336" s="73">
        <f t="shared" si="325"/>
        <v>-8.6956521739130488E-2</v>
      </c>
      <c r="AJ336" s="73">
        <f t="shared" ref="AJ336:AS336" si="326">AJ334/AE334-1</f>
        <v>5.1282051282051322E-2</v>
      </c>
      <c r="AK336" s="24">
        <v>2.8124999999999956E-2</v>
      </c>
      <c r="AL336" s="73">
        <v>0</v>
      </c>
      <c r="AM336" s="73">
        <v>1.2111111111111112</v>
      </c>
      <c r="AN336" s="73">
        <v>8.3333333333333259E-2</v>
      </c>
      <c r="AO336" s="73">
        <v>-0.20731707317073167</v>
      </c>
      <c r="AP336" s="24">
        <v>0.30091185410334353</v>
      </c>
      <c r="AQ336" s="73">
        <v>-0.28767123287671237</v>
      </c>
      <c r="AR336" s="73">
        <v>-0.68341708542713575</v>
      </c>
      <c r="AS336" s="73">
        <v>-0.29670329670329665</v>
      </c>
      <c r="AT336" s="73">
        <v>-1.538461538461533E-2</v>
      </c>
      <c r="AU336" s="24">
        <v>-0.43224299065420557</v>
      </c>
      <c r="AV336" s="73">
        <v>0.40384615384615374</v>
      </c>
      <c r="AW336" s="73">
        <v>0.30158730158730163</v>
      </c>
      <c r="AX336" s="73">
        <v>0.21875</v>
      </c>
      <c r="AY336" s="73">
        <v>0.203125</v>
      </c>
      <c r="AZ336" s="24">
        <v>0.27572016460905346</v>
      </c>
      <c r="BA336" s="73">
        <v>-5.4794520547945202E-2</v>
      </c>
    </row>
    <row r="337" spans="1:53" s="36" customFormat="1">
      <c r="A337" s="69" t="s">
        <v>52</v>
      </c>
      <c r="B337" s="29">
        <f>B334-5</f>
        <v>376</v>
      </c>
      <c r="C337" s="70">
        <f>C334-1</f>
        <v>102</v>
      </c>
      <c r="D337" s="70">
        <f>D334-1</f>
        <v>181</v>
      </c>
      <c r="E337" s="70">
        <v>350</v>
      </c>
      <c r="F337" s="70">
        <f>G337-E337-D337-C337</f>
        <v>162</v>
      </c>
      <c r="G337" s="29">
        <f>G334-3</f>
        <v>795</v>
      </c>
      <c r="H337" s="70">
        <v>149</v>
      </c>
      <c r="I337" s="70">
        <f>I334-4</f>
        <v>159</v>
      </c>
      <c r="J337" s="70">
        <v>146</v>
      </c>
      <c r="K337" s="70">
        <f>L337-J337-I337-H337</f>
        <v>101</v>
      </c>
      <c r="L337" s="29">
        <f>L334-4</f>
        <v>555</v>
      </c>
      <c r="M337" s="70">
        <f>M334</f>
        <v>92</v>
      </c>
      <c r="N337" s="70">
        <f>N334</f>
        <v>114</v>
      </c>
      <c r="O337" s="70">
        <f>O334</f>
        <v>99</v>
      </c>
      <c r="P337" s="70">
        <f>Q337-O337-N337-M337</f>
        <v>92</v>
      </c>
      <c r="Q337" s="29">
        <f>Q334</f>
        <v>397</v>
      </c>
      <c r="R337" s="70">
        <f>R334</f>
        <v>133</v>
      </c>
      <c r="S337" s="70">
        <v>86</v>
      </c>
      <c r="T337" s="70">
        <f>T334-36</f>
        <v>71</v>
      </c>
      <c r="U337" s="70">
        <f>V337-T337-S337-R337</f>
        <v>92</v>
      </c>
      <c r="V337" s="29">
        <f>V334-1-36</f>
        <v>382</v>
      </c>
      <c r="W337" s="70">
        <f>W334</f>
        <v>115</v>
      </c>
      <c r="X337" s="70">
        <f>X334</f>
        <v>109</v>
      </c>
      <c r="Y337" s="70">
        <f>Y334</f>
        <v>84</v>
      </c>
      <c r="Z337" s="70">
        <f>AA337-Y337-X337-W337</f>
        <v>73</v>
      </c>
      <c r="AA337" s="98">
        <f>AA334-3</f>
        <v>381</v>
      </c>
      <c r="AB337" s="70">
        <f>AB334</f>
        <v>66</v>
      </c>
      <c r="AC337" s="70">
        <f>AC334</f>
        <v>84</v>
      </c>
      <c r="AD337" s="70">
        <v>88</v>
      </c>
      <c r="AE337" s="70">
        <v>77</v>
      </c>
      <c r="AF337" s="98">
        <v>315</v>
      </c>
      <c r="AG337" s="70">
        <f>AG334</f>
        <v>73</v>
      </c>
      <c r="AH337" s="70">
        <f>AH334-5</f>
        <v>85</v>
      </c>
      <c r="AI337" s="70">
        <f>AI334-1</f>
        <v>83</v>
      </c>
      <c r="AJ337" s="70">
        <f>AK337-AI337-AH337-AG337</f>
        <v>80</v>
      </c>
      <c r="AK337" s="98">
        <v>321</v>
      </c>
      <c r="AL337" s="70">
        <v>72</v>
      </c>
      <c r="AM337" s="70">
        <v>199</v>
      </c>
      <c r="AN337" s="70">
        <v>90</v>
      </c>
      <c r="AO337" s="70">
        <v>65</v>
      </c>
      <c r="AP337" s="98">
        <v>426</v>
      </c>
      <c r="AQ337" s="70">
        <v>51</v>
      </c>
      <c r="AR337" s="70">
        <v>63</v>
      </c>
      <c r="AS337" s="70">
        <v>64</v>
      </c>
      <c r="AT337" s="70">
        <v>63</v>
      </c>
      <c r="AU337" s="98">
        <v>241</v>
      </c>
      <c r="AV337" s="70">
        <v>73</v>
      </c>
      <c r="AW337" s="70">
        <v>82</v>
      </c>
      <c r="AX337" s="70">
        <v>78</v>
      </c>
      <c r="AY337" s="70">
        <v>76</v>
      </c>
      <c r="AZ337" s="98">
        <v>309</v>
      </c>
      <c r="BA337" s="70">
        <v>69</v>
      </c>
    </row>
    <row r="338" spans="1:53">
      <c r="A338" s="71" t="s">
        <v>7</v>
      </c>
      <c r="B338" s="24"/>
      <c r="C338" s="72"/>
      <c r="D338" s="72">
        <f>D337/C337-1</f>
        <v>0.77450980392156854</v>
      </c>
      <c r="E338" s="72">
        <f>E337/D337-1</f>
        <v>0.93370165745856348</v>
      </c>
      <c r="F338" s="72">
        <f>F337/E337-1</f>
        <v>-0.53714285714285714</v>
      </c>
      <c r="G338" s="24"/>
      <c r="H338" s="72">
        <f>H337/F337-1</f>
        <v>-8.0246913580246937E-2</v>
      </c>
      <c r="I338" s="72">
        <f>I337/H337-1</f>
        <v>6.7114093959731447E-2</v>
      </c>
      <c r="J338" s="72">
        <f>J337/I337-1</f>
        <v>-8.1761006289308158E-2</v>
      </c>
      <c r="K338" s="72">
        <f>K337/J337-1</f>
        <v>-0.30821917808219179</v>
      </c>
      <c r="L338" s="24"/>
      <c r="M338" s="72">
        <f>M337/K337-1</f>
        <v>-8.9108910891089077E-2</v>
      </c>
      <c r="N338" s="72">
        <f>N337/M337-1</f>
        <v>0.23913043478260865</v>
      </c>
      <c r="O338" s="72">
        <f>O337/N337-1</f>
        <v>-0.13157894736842102</v>
      </c>
      <c r="P338" s="72">
        <f>P337/O337-1</f>
        <v>-7.0707070707070718E-2</v>
      </c>
      <c r="Q338" s="24"/>
      <c r="R338" s="72">
        <f>R337/P337-1</f>
        <v>0.44565217391304346</v>
      </c>
      <c r="S338" s="72">
        <f>S337/R337-1</f>
        <v>-0.35338345864661658</v>
      </c>
      <c r="T338" s="72">
        <f>T337/S337-1</f>
        <v>-0.17441860465116277</v>
      </c>
      <c r="U338" s="72">
        <f>U337/T337-1</f>
        <v>0.29577464788732399</v>
      </c>
      <c r="V338" s="24"/>
      <c r="W338" s="72">
        <f>W337/U337-1</f>
        <v>0.25</v>
      </c>
      <c r="X338" s="72">
        <f>X337/W337-1</f>
        <v>-5.2173913043478293E-2</v>
      </c>
      <c r="Y338" s="72">
        <f>Y337/X337-1</f>
        <v>-0.22935779816513757</v>
      </c>
      <c r="Z338" s="72">
        <f>Z337/Y337-1</f>
        <v>-0.13095238095238093</v>
      </c>
      <c r="AA338" s="24"/>
      <c r="AB338" s="72">
        <f>AB337/Z337-1</f>
        <v>-9.589041095890416E-2</v>
      </c>
      <c r="AC338" s="72">
        <f>AC337/AB337-1</f>
        <v>0.27272727272727271</v>
      </c>
      <c r="AD338" s="72">
        <f>AD337/AC337-1</f>
        <v>4.7619047619047672E-2</v>
      </c>
      <c r="AE338" s="72">
        <f>AE337/AD337-1</f>
        <v>-0.125</v>
      </c>
      <c r="AF338" s="24"/>
      <c r="AG338" s="72">
        <f>AG337/AE337-1</f>
        <v>-5.1948051948051965E-2</v>
      </c>
      <c r="AH338" s="72">
        <f>AH337/AG337-1</f>
        <v>0.16438356164383561</v>
      </c>
      <c r="AI338" s="72">
        <f>AI337/AH337-1</f>
        <v>-2.352941176470591E-2</v>
      </c>
      <c r="AJ338" s="72">
        <f>AJ337/AI337-1</f>
        <v>-3.6144578313253017E-2</v>
      </c>
      <c r="AK338" s="24"/>
      <c r="AL338" s="72">
        <v>-9.9999999999999978E-2</v>
      </c>
      <c r="AM338" s="72">
        <v>1.7638888888888888</v>
      </c>
      <c r="AN338" s="72">
        <v>-0.54773869346733672</v>
      </c>
      <c r="AO338" s="72">
        <v>-0.27777777777777779</v>
      </c>
      <c r="AP338" s="24"/>
      <c r="AQ338" s="72">
        <v>-0.2153846153846154</v>
      </c>
      <c r="AR338" s="72">
        <v>0.23529411764705888</v>
      </c>
      <c r="AS338" s="72">
        <v>1.5873015873015817E-2</v>
      </c>
      <c r="AT338" s="72">
        <v>-1.5625E-2</v>
      </c>
      <c r="AU338" s="24"/>
      <c r="AV338" s="72">
        <v>0.15873015873015883</v>
      </c>
      <c r="AW338" s="72">
        <v>0.12328767123287676</v>
      </c>
      <c r="AX338" s="72">
        <v>-4.8780487804878092E-2</v>
      </c>
      <c r="AY338" s="72">
        <v>-2.5641025641025661E-2</v>
      </c>
      <c r="AZ338" s="24"/>
      <c r="BA338" s="72">
        <v>-9.210526315789469E-2</v>
      </c>
    </row>
    <row r="339" spans="1:53">
      <c r="A339" s="71" t="s">
        <v>8</v>
      </c>
      <c r="B339" s="24"/>
      <c r="C339" s="73"/>
      <c r="D339" s="73"/>
      <c r="E339" s="73"/>
      <c r="F339" s="73"/>
      <c r="G339" s="24">
        <f t="shared" ref="G339:N339" si="327">G337/B337-1</f>
        <v>1.1143617021276597</v>
      </c>
      <c r="H339" s="73">
        <f t="shared" si="327"/>
        <v>0.46078431372549011</v>
      </c>
      <c r="I339" s="73">
        <f t="shared" si="327"/>
        <v>-0.12154696132596687</v>
      </c>
      <c r="J339" s="73">
        <f t="shared" si="327"/>
        <v>-0.58285714285714285</v>
      </c>
      <c r="K339" s="73">
        <f t="shared" si="327"/>
        <v>-0.37654320987654322</v>
      </c>
      <c r="L339" s="24">
        <f t="shared" si="327"/>
        <v>-0.30188679245283023</v>
      </c>
      <c r="M339" s="73">
        <f t="shared" si="327"/>
        <v>-0.3825503355704698</v>
      </c>
      <c r="N339" s="73">
        <f t="shared" si="327"/>
        <v>-0.28301886792452835</v>
      </c>
      <c r="O339" s="73">
        <f t="shared" ref="O339:Y339" si="328">O337/J337-1</f>
        <v>-0.32191780821917804</v>
      </c>
      <c r="P339" s="73">
        <f t="shared" si="328"/>
        <v>-8.9108910891089077E-2</v>
      </c>
      <c r="Q339" s="24">
        <f t="shared" si="328"/>
        <v>-0.28468468468468466</v>
      </c>
      <c r="R339" s="73">
        <f t="shared" si="328"/>
        <v>0.44565217391304346</v>
      </c>
      <c r="S339" s="73">
        <f t="shared" si="328"/>
        <v>-0.24561403508771928</v>
      </c>
      <c r="T339" s="73">
        <f t="shared" si="328"/>
        <v>-0.28282828282828287</v>
      </c>
      <c r="U339" s="73">
        <f t="shared" si="328"/>
        <v>0</v>
      </c>
      <c r="V339" s="24">
        <f t="shared" si="328"/>
        <v>-3.7783375314861423E-2</v>
      </c>
      <c r="W339" s="73">
        <f t="shared" si="328"/>
        <v>-0.13533834586466165</v>
      </c>
      <c r="X339" s="73">
        <f t="shared" si="328"/>
        <v>0.26744186046511631</v>
      </c>
      <c r="Y339" s="73">
        <f t="shared" si="328"/>
        <v>0.18309859154929575</v>
      </c>
      <c r="Z339" s="73">
        <f t="shared" ref="Z339:AI339" si="329">Z337/U337-1</f>
        <v>-0.20652173913043481</v>
      </c>
      <c r="AA339" s="24">
        <f t="shared" si="329"/>
        <v>-2.6178010471203939E-3</v>
      </c>
      <c r="AB339" s="73">
        <f t="shared" si="329"/>
        <v>-0.42608695652173911</v>
      </c>
      <c r="AC339" s="73">
        <f t="shared" si="329"/>
        <v>-0.22935779816513757</v>
      </c>
      <c r="AD339" s="73">
        <f t="shared" si="329"/>
        <v>4.7619047619047672E-2</v>
      </c>
      <c r="AE339" s="73">
        <f t="shared" si="329"/>
        <v>5.4794520547945202E-2</v>
      </c>
      <c r="AF339" s="24">
        <f t="shared" si="329"/>
        <v>-0.17322834645669294</v>
      </c>
      <c r="AG339" s="73">
        <f t="shared" si="329"/>
        <v>0.10606060606060597</v>
      </c>
      <c r="AH339" s="73">
        <f t="shared" si="329"/>
        <v>1.1904761904761862E-2</v>
      </c>
      <c r="AI339" s="73">
        <f t="shared" si="329"/>
        <v>-5.6818181818181768E-2</v>
      </c>
      <c r="AJ339" s="73">
        <f t="shared" ref="AJ339:AS339" si="330">AJ337/AE337-1</f>
        <v>3.8961038961038863E-2</v>
      </c>
      <c r="AK339" s="24">
        <v>1.904761904761898E-2</v>
      </c>
      <c r="AL339" s="73">
        <v>-1.3698630136986356E-2</v>
      </c>
      <c r="AM339" s="73">
        <v>1.3411764705882354</v>
      </c>
      <c r="AN339" s="73">
        <v>8.43373493975903E-2</v>
      </c>
      <c r="AO339" s="73">
        <v>-0.1875</v>
      </c>
      <c r="AP339" s="24">
        <v>0.32710280373831768</v>
      </c>
      <c r="AQ339" s="73">
        <v>-0.29166666666666663</v>
      </c>
      <c r="AR339" s="73">
        <v>-0.68341708542713575</v>
      </c>
      <c r="AS339" s="73">
        <v>-0.28888888888888886</v>
      </c>
      <c r="AT339" s="73">
        <v>-3.0769230769230771E-2</v>
      </c>
      <c r="AU339" s="24">
        <v>-0.43427230046948362</v>
      </c>
      <c r="AV339" s="73">
        <v>0.43137254901960786</v>
      </c>
      <c r="AW339" s="73">
        <v>0.30158730158730163</v>
      </c>
      <c r="AX339" s="73">
        <v>0.21875</v>
      </c>
      <c r="AY339" s="73">
        <v>0.20634920634920628</v>
      </c>
      <c r="AZ339" s="24">
        <v>0.28215767634854783</v>
      </c>
      <c r="BA339" s="73">
        <v>-5.4794520547945202E-2</v>
      </c>
    </row>
    <row r="340" spans="1:53">
      <c r="A340" s="69" t="s">
        <v>274</v>
      </c>
      <c r="B340" s="24"/>
      <c r="C340" s="73"/>
      <c r="D340" s="73"/>
      <c r="E340" s="73"/>
      <c r="F340" s="73"/>
      <c r="G340" s="24"/>
      <c r="H340" s="73"/>
      <c r="I340" s="73"/>
      <c r="J340" s="73"/>
      <c r="K340" s="73"/>
      <c r="L340" s="24"/>
      <c r="M340" s="73"/>
      <c r="N340" s="73"/>
      <c r="O340" s="73"/>
      <c r="P340" s="73"/>
      <c r="Q340" s="24"/>
      <c r="R340" s="73"/>
      <c r="S340" s="73"/>
      <c r="T340" s="73"/>
      <c r="U340" s="73"/>
      <c r="V340" s="24"/>
      <c r="W340" s="73"/>
      <c r="X340" s="73"/>
      <c r="Y340" s="73"/>
      <c r="Z340" s="73"/>
      <c r="AA340" s="24"/>
      <c r="AB340" s="73"/>
      <c r="AC340" s="73"/>
      <c r="AD340" s="73"/>
      <c r="AE340" s="73"/>
      <c r="AF340" s="24"/>
      <c r="AG340" s="73"/>
      <c r="AH340" s="73"/>
      <c r="AI340" s="73"/>
      <c r="AJ340" s="73"/>
      <c r="AK340" s="24"/>
      <c r="AL340" s="73"/>
      <c r="AM340" s="73"/>
      <c r="AN340" s="73"/>
      <c r="AO340" s="73"/>
      <c r="AP340" s="24"/>
      <c r="AQ340" s="73"/>
      <c r="AR340" s="73"/>
      <c r="AS340" s="73"/>
      <c r="AT340" s="73"/>
      <c r="AU340" s="24"/>
      <c r="AV340" s="73"/>
      <c r="AW340" s="73"/>
      <c r="AX340" s="73"/>
      <c r="AY340" s="73"/>
      <c r="AZ340" s="24"/>
      <c r="BA340" s="70">
        <v>75</v>
      </c>
    </row>
    <row r="341" spans="1:53" ht="6" customHeight="1">
      <c r="A341" s="71"/>
      <c r="B341" s="24"/>
      <c r="C341" s="73"/>
      <c r="D341" s="73"/>
      <c r="E341" s="73"/>
      <c r="F341" s="73"/>
      <c r="G341" s="24"/>
      <c r="H341" s="73"/>
      <c r="I341" s="73"/>
      <c r="J341" s="73"/>
      <c r="K341" s="73"/>
      <c r="L341" s="24"/>
      <c r="M341" s="73"/>
      <c r="N341" s="73"/>
      <c r="O341" s="73"/>
      <c r="P341" s="73"/>
      <c r="Q341" s="24"/>
      <c r="R341" s="73"/>
      <c r="S341" s="73"/>
      <c r="T341" s="73"/>
      <c r="U341" s="73"/>
      <c r="V341" s="24"/>
      <c r="W341" s="73"/>
      <c r="X341" s="73"/>
      <c r="Y341" s="73"/>
      <c r="Z341" s="73"/>
      <c r="AA341" s="24"/>
      <c r="AB341" s="73"/>
      <c r="AC341" s="73"/>
      <c r="AD341" s="73"/>
      <c r="AE341" s="73"/>
      <c r="AF341" s="24"/>
      <c r="AG341" s="73"/>
      <c r="AH341" s="73"/>
      <c r="AI341" s="73"/>
      <c r="AJ341" s="73"/>
      <c r="AK341" s="24"/>
      <c r="AL341" s="73"/>
      <c r="AM341" s="73"/>
      <c r="AN341" s="73"/>
      <c r="AO341" s="73"/>
      <c r="AP341" s="24"/>
      <c r="AQ341" s="73"/>
      <c r="AR341" s="73"/>
      <c r="AS341" s="73"/>
      <c r="AT341" s="73"/>
      <c r="AU341" s="24"/>
      <c r="AV341" s="73"/>
      <c r="AW341" s="73"/>
      <c r="AX341" s="73"/>
      <c r="AY341" s="73"/>
      <c r="AZ341" s="24"/>
      <c r="BA341" s="73"/>
    </row>
    <row r="342" spans="1:53" s="36" customFormat="1">
      <c r="A342" s="69" t="s">
        <v>13</v>
      </c>
      <c r="B342" s="29">
        <f>B328-B337</f>
        <v>852</v>
      </c>
      <c r="C342" s="77">
        <f>C328-C337</f>
        <v>154</v>
      </c>
      <c r="D342" s="77">
        <f>D328-D337</f>
        <v>163</v>
      </c>
      <c r="E342" s="77">
        <f>E328-E337</f>
        <v>29</v>
      </c>
      <c r="F342" s="70">
        <f>G342-E342-D342-C342</f>
        <v>136</v>
      </c>
      <c r="G342" s="29">
        <f>G328-G337</f>
        <v>482</v>
      </c>
      <c r="H342" s="77">
        <f>H328-H337</f>
        <v>226</v>
      </c>
      <c r="I342" s="77">
        <f>I328-I337</f>
        <v>131</v>
      </c>
      <c r="J342" s="77">
        <f>J328-J337</f>
        <v>249</v>
      </c>
      <c r="K342" s="70">
        <v>-45</v>
      </c>
      <c r="L342" s="29">
        <f>L328-L337</f>
        <v>560</v>
      </c>
      <c r="M342" s="77">
        <f>M328-M337</f>
        <v>258</v>
      </c>
      <c r="N342" s="77">
        <f>N328-N337</f>
        <v>264</v>
      </c>
      <c r="O342" s="77">
        <f>O328-O337</f>
        <v>301</v>
      </c>
      <c r="P342" s="70">
        <f>Q342-O342-N342-M342</f>
        <v>-1</v>
      </c>
      <c r="Q342" s="98">
        <f>Q328-Q337</f>
        <v>822</v>
      </c>
      <c r="R342" s="77">
        <f>R328-R337</f>
        <v>175</v>
      </c>
      <c r="S342" s="77">
        <f>S328-S337</f>
        <v>15</v>
      </c>
      <c r="T342" s="77">
        <f>T328-T337</f>
        <v>97</v>
      </c>
      <c r="U342" s="70">
        <f>V342-T342-S342-R342</f>
        <v>131</v>
      </c>
      <c r="V342" s="98">
        <f>V328-V337</f>
        <v>418</v>
      </c>
      <c r="W342" s="77">
        <f>W328-W337</f>
        <v>179</v>
      </c>
      <c r="X342" s="77">
        <f>X328-X337</f>
        <v>447</v>
      </c>
      <c r="Y342" s="77">
        <f>Y328-Y337</f>
        <v>406</v>
      </c>
      <c r="Z342" s="70">
        <f>AA342-Y342-X342-W342</f>
        <v>315</v>
      </c>
      <c r="AA342" s="98">
        <f>AA328-AA337</f>
        <v>1347</v>
      </c>
      <c r="AB342" s="77">
        <f>AB328-AB337</f>
        <v>288</v>
      </c>
      <c r="AC342" s="77">
        <f>AC328-AC337</f>
        <v>384</v>
      </c>
      <c r="AD342" s="77">
        <f>AD328-AD337</f>
        <v>354</v>
      </c>
      <c r="AE342" s="70">
        <f>AF342-AD342-AC342-AB342</f>
        <v>250</v>
      </c>
      <c r="AF342" s="98">
        <f>AF328-AF337</f>
        <v>1276</v>
      </c>
      <c r="AG342" s="77">
        <f>AG328-AG337</f>
        <v>276</v>
      </c>
      <c r="AH342" s="77">
        <f>AH328-AH337</f>
        <v>335</v>
      </c>
      <c r="AI342" s="77">
        <f>AI328-AI337</f>
        <v>203</v>
      </c>
      <c r="AJ342" s="70">
        <f>AK342-AI342-AH342-AG342</f>
        <v>78</v>
      </c>
      <c r="AK342" s="98">
        <v>892</v>
      </c>
      <c r="AL342" s="77">
        <v>279</v>
      </c>
      <c r="AM342" s="77">
        <v>3</v>
      </c>
      <c r="AN342" s="77">
        <v>73</v>
      </c>
      <c r="AO342" s="70">
        <v>-51</v>
      </c>
      <c r="AP342" s="98">
        <v>304</v>
      </c>
      <c r="AQ342" s="77">
        <v>134</v>
      </c>
      <c r="AR342" s="77">
        <v>117</v>
      </c>
      <c r="AS342" s="77">
        <v>88</v>
      </c>
      <c r="AT342" s="70">
        <v>2</v>
      </c>
      <c r="AU342" s="98">
        <v>341</v>
      </c>
      <c r="AV342" s="77">
        <v>44</v>
      </c>
      <c r="AW342" s="77">
        <v>111</v>
      </c>
      <c r="AX342" s="77">
        <v>131</v>
      </c>
      <c r="AY342" s="70">
        <v>10</v>
      </c>
      <c r="AZ342" s="98">
        <v>296</v>
      </c>
      <c r="BA342" s="77">
        <v>95</v>
      </c>
    </row>
    <row r="343" spans="1:53">
      <c r="A343" s="71" t="s">
        <v>7</v>
      </c>
      <c r="B343" s="24"/>
      <c r="C343" s="72"/>
      <c r="D343" s="72">
        <f>D342/C342-1</f>
        <v>5.8441558441558517E-2</v>
      </c>
      <c r="E343" s="72">
        <f>E342/D342-1</f>
        <v>-0.82208588957055218</v>
      </c>
      <c r="F343" s="72">
        <f>F342/E342-1</f>
        <v>3.6896551724137927</v>
      </c>
      <c r="G343" s="24"/>
      <c r="H343" s="72">
        <f>H342/F342-1</f>
        <v>0.66176470588235303</v>
      </c>
      <c r="I343" s="72">
        <f>I342/H342-1</f>
        <v>-0.42035398230088494</v>
      </c>
      <c r="J343" s="72">
        <f>J342/I342-1</f>
        <v>0.9007633587786259</v>
      </c>
      <c r="K343" s="72">
        <f>K342/J342-1</f>
        <v>-1.1807228915662651</v>
      </c>
      <c r="L343" s="24"/>
      <c r="M343" s="72">
        <f>M342/K342-1</f>
        <v>-6.7333333333333334</v>
      </c>
      <c r="N343" s="72">
        <f>N342/M342-1</f>
        <v>2.3255813953488413E-2</v>
      </c>
      <c r="O343" s="72">
        <f>O342/N342-1</f>
        <v>0.14015151515151514</v>
      </c>
      <c r="P343" s="72">
        <f>P342/O342-1</f>
        <v>-1.0033222591362125</v>
      </c>
      <c r="Q343" s="24"/>
      <c r="R343" s="119" t="s">
        <v>44</v>
      </c>
      <c r="S343" s="72">
        <f>S342/R342-1</f>
        <v>-0.91428571428571426</v>
      </c>
      <c r="T343" s="72">
        <f>T342/S342-1</f>
        <v>5.4666666666666668</v>
      </c>
      <c r="U343" s="72">
        <f>U342/T342-1</f>
        <v>0.35051546391752586</v>
      </c>
      <c r="V343" s="24"/>
      <c r="W343" s="72">
        <f>W342/U342-1</f>
        <v>0.36641221374045796</v>
      </c>
      <c r="X343" s="72">
        <f>X342/W342-1</f>
        <v>1.4972067039106145</v>
      </c>
      <c r="Y343" s="72">
        <f>Y342/X342-1</f>
        <v>-9.1722595078299829E-2</v>
      </c>
      <c r="Z343" s="72">
        <f>Z342/Y342-1</f>
        <v>-0.22413793103448276</v>
      </c>
      <c r="AA343" s="24"/>
      <c r="AB343" s="72">
        <f>AB342/Z342-1</f>
        <v>-8.5714285714285743E-2</v>
      </c>
      <c r="AC343" s="72">
        <f>AC342/AB342-1</f>
        <v>0.33333333333333326</v>
      </c>
      <c r="AD343" s="72">
        <f>AD342/AC342-1</f>
        <v>-7.8125E-2</v>
      </c>
      <c r="AE343" s="72">
        <f>AE342/AD342-1</f>
        <v>-0.29378531073446323</v>
      </c>
      <c r="AF343" s="24"/>
      <c r="AG343" s="72">
        <f>AG342/AE342-1</f>
        <v>0.10400000000000009</v>
      </c>
      <c r="AH343" s="72">
        <f>AH342/AG342-1</f>
        <v>0.21376811594202905</v>
      </c>
      <c r="AI343" s="72">
        <f>AI342/AH342-1</f>
        <v>-0.39402985074626862</v>
      </c>
      <c r="AJ343" s="72">
        <f>AJ342/AI342-1</f>
        <v>-0.61576354679802958</v>
      </c>
      <c r="AK343" s="24"/>
      <c r="AL343" s="72">
        <v>2.5769230769230771</v>
      </c>
      <c r="AM343" s="72">
        <v>-0.989247311827957</v>
      </c>
      <c r="AN343" s="72">
        <v>23.333333333333332</v>
      </c>
      <c r="AO343" s="85" t="s">
        <v>44</v>
      </c>
      <c r="AP343" s="24"/>
      <c r="AQ343" s="85" t="s">
        <v>44</v>
      </c>
      <c r="AR343" s="72">
        <v>-0.12686567164179108</v>
      </c>
      <c r="AS343" s="72">
        <v>-0.24786324786324787</v>
      </c>
      <c r="AT343" s="72">
        <v>-0.97727272727272729</v>
      </c>
      <c r="AU343" s="24"/>
      <c r="AV343" s="72">
        <v>21</v>
      </c>
      <c r="AW343" s="72">
        <v>1.5227272727272729</v>
      </c>
      <c r="AX343" s="72">
        <v>0.18018018018018012</v>
      </c>
      <c r="AY343" s="72">
        <v>-0.92366412213740456</v>
      </c>
      <c r="AZ343" s="24"/>
      <c r="BA343" s="72">
        <v>8.5</v>
      </c>
    </row>
    <row r="344" spans="1:53">
      <c r="A344" s="71" t="s">
        <v>8</v>
      </c>
      <c r="B344" s="24"/>
      <c r="C344" s="73"/>
      <c r="D344" s="73"/>
      <c r="E344" s="73"/>
      <c r="F344" s="73"/>
      <c r="G344" s="24">
        <f t="shared" ref="G344:N344" si="331">G342/B342-1</f>
        <v>-0.43427230046948362</v>
      </c>
      <c r="H344" s="73">
        <f t="shared" si="331"/>
        <v>0.46753246753246747</v>
      </c>
      <c r="I344" s="73">
        <f t="shared" si="331"/>
        <v>-0.19631901840490795</v>
      </c>
      <c r="J344" s="73">
        <f t="shared" si="331"/>
        <v>7.5862068965517242</v>
      </c>
      <c r="K344" s="73">
        <f t="shared" si="331"/>
        <v>-1.3308823529411764</v>
      </c>
      <c r="L344" s="24">
        <f t="shared" si="331"/>
        <v>0.16182572614107893</v>
      </c>
      <c r="M344" s="73">
        <f t="shared" si="331"/>
        <v>0.1415929203539823</v>
      </c>
      <c r="N344" s="73">
        <f t="shared" si="331"/>
        <v>1.0152671755725189</v>
      </c>
      <c r="O344" s="73">
        <f t="shared" ref="O344:Y344" si="332">O342/J342-1</f>
        <v>0.20883534136546178</v>
      </c>
      <c r="P344" s="73">
        <f t="shared" si="332"/>
        <v>-0.97777777777777775</v>
      </c>
      <c r="Q344" s="24">
        <f t="shared" si="332"/>
        <v>0.46785714285714275</v>
      </c>
      <c r="R344" s="73">
        <f t="shared" si="332"/>
        <v>-0.32170542635658916</v>
      </c>
      <c r="S344" s="73">
        <f t="shared" si="332"/>
        <v>-0.94318181818181823</v>
      </c>
      <c r="T344" s="73">
        <f t="shared" si="332"/>
        <v>-0.67774086378737541</v>
      </c>
      <c r="U344" s="83" t="s">
        <v>44</v>
      </c>
      <c r="V344" s="24">
        <f t="shared" si="332"/>
        <v>-0.4914841849148418</v>
      </c>
      <c r="W344" s="73">
        <f t="shared" si="332"/>
        <v>2.2857142857142909E-2</v>
      </c>
      <c r="X344" s="73">
        <f t="shared" si="332"/>
        <v>28.8</v>
      </c>
      <c r="Y344" s="73">
        <f t="shared" si="332"/>
        <v>3.1855670103092786</v>
      </c>
      <c r="Z344" s="73">
        <f t="shared" ref="Z344:AI344" si="333">Z342/U342-1</f>
        <v>1.4045801526717558</v>
      </c>
      <c r="AA344" s="24">
        <f t="shared" si="333"/>
        <v>2.2224880382775121</v>
      </c>
      <c r="AB344" s="73">
        <f t="shared" si="333"/>
        <v>0.6089385474860336</v>
      </c>
      <c r="AC344" s="73">
        <f t="shared" si="333"/>
        <v>-0.14093959731543626</v>
      </c>
      <c r="AD344" s="73">
        <f t="shared" si="333"/>
        <v>-0.1280788177339901</v>
      </c>
      <c r="AE344" s="73">
        <f t="shared" si="333"/>
        <v>-0.20634920634920639</v>
      </c>
      <c r="AF344" s="24">
        <f t="shared" si="333"/>
        <v>-5.2709725315515987E-2</v>
      </c>
      <c r="AG344" s="73">
        <f t="shared" si="333"/>
        <v>-4.166666666666663E-2</v>
      </c>
      <c r="AH344" s="73">
        <f t="shared" si="333"/>
        <v>-0.12760416666666663</v>
      </c>
      <c r="AI344" s="73">
        <f t="shared" si="333"/>
        <v>-0.42655367231638419</v>
      </c>
      <c r="AJ344" s="73">
        <f t="shared" ref="AJ344:AT344" si="334">AJ342/AE342-1</f>
        <v>-0.68799999999999994</v>
      </c>
      <c r="AK344" s="24">
        <v>-0.30094043887147337</v>
      </c>
      <c r="AL344" s="73">
        <v>1.0869565217391353E-2</v>
      </c>
      <c r="AM344" s="73">
        <v>-0.991044776119403</v>
      </c>
      <c r="AN344" s="73">
        <v>-0.64039408866995073</v>
      </c>
      <c r="AO344" s="85" t="s">
        <v>44</v>
      </c>
      <c r="AP344" s="24">
        <v>-0.65919282511210764</v>
      </c>
      <c r="AQ344" s="73">
        <v>-0.51971326164874554</v>
      </c>
      <c r="AR344" s="73">
        <v>38</v>
      </c>
      <c r="AS344" s="73">
        <v>0.20547945205479445</v>
      </c>
      <c r="AT344" s="73">
        <v>-1.0392156862745099</v>
      </c>
      <c r="AU344" s="24">
        <v>0.12171052631578938</v>
      </c>
      <c r="AV344" s="73">
        <v>-0.67164179104477606</v>
      </c>
      <c r="AW344" s="73">
        <v>-5.1282051282051322E-2</v>
      </c>
      <c r="AX344" s="73">
        <v>0.48863636363636354</v>
      </c>
      <c r="AY344" s="73">
        <v>4</v>
      </c>
      <c r="AZ344" s="24">
        <v>-0.13196480938416422</v>
      </c>
      <c r="BA344" s="73">
        <v>1.1590909090909092</v>
      </c>
    </row>
    <row r="345" spans="1:53">
      <c r="A345" s="50" t="s">
        <v>20</v>
      </c>
      <c r="B345" s="40"/>
      <c r="C345" s="52"/>
      <c r="D345" s="52"/>
      <c r="E345" s="52"/>
      <c r="F345" s="52"/>
      <c r="G345" s="40"/>
      <c r="H345" s="52"/>
      <c r="I345" s="52"/>
      <c r="J345" s="52"/>
      <c r="K345" s="52"/>
      <c r="L345" s="40"/>
      <c r="M345" s="52"/>
      <c r="N345" s="52"/>
      <c r="O345" s="52"/>
      <c r="P345" s="52"/>
      <c r="Q345" s="40"/>
      <c r="R345" s="52"/>
      <c r="S345" s="52"/>
      <c r="T345" s="52"/>
      <c r="U345" s="52"/>
      <c r="V345" s="40"/>
      <c r="W345" s="52"/>
      <c r="X345" s="52"/>
      <c r="Y345" s="52"/>
      <c r="Z345" s="52"/>
      <c r="AA345" s="40"/>
      <c r="AB345" s="52"/>
      <c r="AC345" s="52"/>
      <c r="AD345" s="52"/>
      <c r="AE345" s="52"/>
      <c r="AF345" s="40"/>
      <c r="AG345" s="52"/>
      <c r="AH345" s="52"/>
      <c r="AI345" s="52"/>
      <c r="AJ345" s="52"/>
      <c r="AK345" s="40"/>
      <c r="AL345" s="52"/>
      <c r="AM345" s="52"/>
      <c r="AN345" s="52"/>
      <c r="AO345" s="52"/>
      <c r="AP345" s="40"/>
      <c r="AQ345" s="52"/>
      <c r="AR345" s="52"/>
      <c r="AS345" s="52"/>
      <c r="AT345" s="52"/>
      <c r="AU345" s="40"/>
      <c r="AV345" s="52"/>
      <c r="AW345" s="52"/>
      <c r="AX345" s="52"/>
      <c r="AY345" s="52"/>
      <c r="AZ345" s="40"/>
      <c r="BA345" s="52"/>
    </row>
    <row r="346" spans="1:53" s="36" customFormat="1">
      <c r="A346" s="36" t="s">
        <v>109</v>
      </c>
      <c r="B346" s="56">
        <f>B300/B282</f>
        <v>0.28543979504696843</v>
      </c>
      <c r="C346" s="80" t="s">
        <v>53</v>
      </c>
      <c r="D346" s="80" t="s">
        <v>53</v>
      </c>
      <c r="E346" s="80" t="s">
        <v>53</v>
      </c>
      <c r="F346" s="80" t="s">
        <v>53</v>
      </c>
      <c r="G346" s="56">
        <f t="shared" ref="G346:BA346" si="335">G300/G282</f>
        <v>0.31360067897305327</v>
      </c>
      <c r="H346" s="78">
        <f t="shared" si="335"/>
        <v>0.35335968379446642</v>
      </c>
      <c r="I346" s="78">
        <f t="shared" si="335"/>
        <v>0.33209509658246655</v>
      </c>
      <c r="J346" s="78">
        <f t="shared" si="335"/>
        <v>0.33673469387755101</v>
      </c>
      <c r="K346" s="78">
        <f t="shared" si="335"/>
        <v>0.30725053840631728</v>
      </c>
      <c r="L346" s="56">
        <f t="shared" si="335"/>
        <v>0.33184523809523808</v>
      </c>
      <c r="M346" s="78">
        <f t="shared" si="335"/>
        <v>0.33740129217516152</v>
      </c>
      <c r="N346" s="78">
        <f t="shared" si="335"/>
        <v>0.35619314205738278</v>
      </c>
      <c r="O346" s="78">
        <f t="shared" si="335"/>
        <v>0.34743411927877949</v>
      </c>
      <c r="P346" s="78">
        <f t="shared" si="335"/>
        <v>0.33923705722070846</v>
      </c>
      <c r="Q346" s="56">
        <f t="shared" si="335"/>
        <v>0.34508025122121422</v>
      </c>
      <c r="R346" s="78">
        <f t="shared" si="335"/>
        <v>0.37793103448275861</v>
      </c>
      <c r="S346" s="78">
        <f t="shared" si="335"/>
        <v>0.35535465924895687</v>
      </c>
      <c r="T346" s="78">
        <f t="shared" si="335"/>
        <v>0.34834623504574241</v>
      </c>
      <c r="U346" s="78">
        <f t="shared" si="335"/>
        <v>0.32849071832122678</v>
      </c>
      <c r="V346" s="56">
        <f t="shared" si="335"/>
        <v>0.35346070656092288</v>
      </c>
      <c r="W346" s="78">
        <f t="shared" si="335"/>
        <v>0.33199356913183281</v>
      </c>
      <c r="X346" s="78">
        <f t="shared" si="335"/>
        <v>0.34494773519163763</v>
      </c>
      <c r="Y346" s="78">
        <f t="shared" si="335"/>
        <v>0.31744518589132509</v>
      </c>
      <c r="Z346" s="78">
        <f t="shared" si="335"/>
        <v>0.27848101265822783</v>
      </c>
      <c r="AA346" s="56">
        <f t="shared" si="335"/>
        <v>0.31960608773500448</v>
      </c>
      <c r="AB346" s="78">
        <f t="shared" si="335"/>
        <v>0.29875518672199169</v>
      </c>
      <c r="AC346" s="78">
        <f t="shared" si="335"/>
        <v>0.31475409836065577</v>
      </c>
      <c r="AD346" s="78">
        <f t="shared" si="335"/>
        <v>0.28722280887011614</v>
      </c>
      <c r="AE346" s="78">
        <f t="shared" si="335"/>
        <v>0.25432349949135302</v>
      </c>
      <c r="AF346" s="56">
        <f t="shared" si="335"/>
        <v>0.28826463638750327</v>
      </c>
      <c r="AG346" s="78">
        <f t="shared" si="335"/>
        <v>0.257360959651036</v>
      </c>
      <c r="AH346" s="78">
        <f t="shared" si="335"/>
        <v>0.27402135231316727</v>
      </c>
      <c r="AI346" s="78">
        <f t="shared" si="335"/>
        <v>0.27063106796116504</v>
      </c>
      <c r="AJ346" s="78">
        <f t="shared" si="335"/>
        <v>0.22994011976047904</v>
      </c>
      <c r="AK346" s="56">
        <v>0.25797016671541384</v>
      </c>
      <c r="AL346" s="78">
        <v>0.16506189821182943</v>
      </c>
      <c r="AM346" s="78">
        <v>0.18446601941747573</v>
      </c>
      <c r="AN346" s="78">
        <v>0.19615912208504802</v>
      </c>
      <c r="AO346" s="78">
        <v>0.15568022440392706</v>
      </c>
      <c r="AP346" s="56">
        <v>0.17543252595155709</v>
      </c>
      <c r="AQ346" s="78">
        <v>0.13710879284649777</v>
      </c>
      <c r="AR346" s="78">
        <v>0.14893617021276595</v>
      </c>
      <c r="AS346" s="78">
        <v>0.17411402157164868</v>
      </c>
      <c r="AT346" s="78">
        <v>0.12116564417177914</v>
      </c>
      <c r="AU346" s="56">
        <v>0.14524714828897339</v>
      </c>
      <c r="AV346" s="78">
        <v>0.11942675159235669</v>
      </c>
      <c r="AW346" s="78">
        <v>0.16297468354430381</v>
      </c>
      <c r="AX346" s="78">
        <v>0.15905511811023623</v>
      </c>
      <c r="AY346" s="78">
        <v>0.14746543778801843</v>
      </c>
      <c r="AZ346" s="56">
        <v>0.14728986645718775</v>
      </c>
      <c r="BA346" s="78">
        <v>0.1421647819063005</v>
      </c>
    </row>
    <row r="347" spans="1:53" s="36" customFormat="1">
      <c r="A347" s="69" t="s">
        <v>31</v>
      </c>
      <c r="B347" s="56">
        <f t="shared" ref="B347:AG347" si="336">B317/B282</f>
        <v>0.17186165670367207</v>
      </c>
      <c r="C347" s="78">
        <f t="shared" si="336"/>
        <v>0.18329070758738278</v>
      </c>
      <c r="D347" s="78">
        <f t="shared" si="336"/>
        <v>0.22390572390572391</v>
      </c>
      <c r="E347" s="78">
        <f t="shared" si="336"/>
        <v>0.2413509060955519</v>
      </c>
      <c r="F347" s="78">
        <f t="shared" si="336"/>
        <v>0.13971880492091387</v>
      </c>
      <c r="G347" s="56">
        <f t="shared" si="336"/>
        <v>0.19796308084022915</v>
      </c>
      <c r="H347" s="78">
        <f t="shared" si="336"/>
        <v>0.23873517786561266</v>
      </c>
      <c r="I347" s="78">
        <f t="shared" si="336"/>
        <v>0.23848439821693909</v>
      </c>
      <c r="J347" s="78">
        <f t="shared" si="336"/>
        <v>0.23032069970845481</v>
      </c>
      <c r="K347" s="78">
        <f t="shared" si="336"/>
        <v>0.18018664752333094</v>
      </c>
      <c r="L347" s="56">
        <f t="shared" si="336"/>
        <v>0.22135416666666666</v>
      </c>
      <c r="M347" s="78">
        <f t="shared" si="336"/>
        <v>0.23115577889447236</v>
      </c>
      <c r="N347" s="78">
        <f t="shared" si="336"/>
        <v>0.25332400279916023</v>
      </c>
      <c r="O347" s="78">
        <f t="shared" si="336"/>
        <v>0.24687933425797504</v>
      </c>
      <c r="P347" s="78">
        <f t="shared" si="336"/>
        <v>0.23365122615803816</v>
      </c>
      <c r="Q347" s="56">
        <f t="shared" si="336"/>
        <v>0.24127704117236567</v>
      </c>
      <c r="R347" s="78">
        <f t="shared" si="336"/>
        <v>0.27517241379310342</v>
      </c>
      <c r="S347" s="78">
        <f t="shared" si="336"/>
        <v>0.2482614742698192</v>
      </c>
      <c r="T347" s="78">
        <f t="shared" si="336"/>
        <v>0.2406755805770584</v>
      </c>
      <c r="U347" s="78">
        <f t="shared" si="336"/>
        <v>0.21146085552865213</v>
      </c>
      <c r="V347" s="56">
        <f t="shared" si="336"/>
        <v>0.24513338139870222</v>
      </c>
      <c r="W347" s="78">
        <f t="shared" si="336"/>
        <v>0.21463022508038584</v>
      </c>
      <c r="X347" s="78">
        <f t="shared" si="336"/>
        <v>0.22560975609756098</v>
      </c>
      <c r="Y347" s="78">
        <f t="shared" si="336"/>
        <v>0.18970448045757865</v>
      </c>
      <c r="Z347" s="78">
        <f t="shared" si="336"/>
        <v>0.16260954235637781</v>
      </c>
      <c r="AA347" s="56">
        <f t="shared" si="336"/>
        <v>0.19964189794091317</v>
      </c>
      <c r="AB347" s="78">
        <f t="shared" si="336"/>
        <v>0.18049792531120332</v>
      </c>
      <c r="AC347" s="78">
        <f t="shared" si="336"/>
        <v>0.20327868852459016</v>
      </c>
      <c r="AD347" s="78">
        <f t="shared" si="336"/>
        <v>0.18162618796198521</v>
      </c>
      <c r="AE347" s="78">
        <f t="shared" si="336"/>
        <v>7.7314343845371308E-2</v>
      </c>
      <c r="AF347" s="56">
        <f t="shared" si="336"/>
        <v>0.15962194801785246</v>
      </c>
      <c r="AG347" s="78">
        <f t="shared" si="336"/>
        <v>0.13740458015267176</v>
      </c>
      <c r="AH347" s="78">
        <f t="shared" ref="AH347:BA347" si="337">AH317/AH282</f>
        <v>0.15065243179122181</v>
      </c>
      <c r="AI347" s="78">
        <f t="shared" si="337"/>
        <v>0.14805825242718446</v>
      </c>
      <c r="AJ347" s="78">
        <f t="shared" si="337"/>
        <v>8.862275449101796E-2</v>
      </c>
      <c r="AK347" s="56">
        <v>0.1313249488154431</v>
      </c>
      <c r="AL347" s="78">
        <v>4.4016506189821183E-2</v>
      </c>
      <c r="AM347" s="78">
        <v>7.3509015256588067E-2</v>
      </c>
      <c r="AN347" s="78">
        <v>8.3676268861454045E-2</v>
      </c>
      <c r="AO347" s="78">
        <v>1.5427769985974754E-2</v>
      </c>
      <c r="AP347" s="56">
        <v>5.4325259515570934E-2</v>
      </c>
      <c r="AQ347" s="78">
        <v>1.4903129657228018E-3</v>
      </c>
      <c r="AR347" s="78">
        <v>1.2158054711246201E-2</v>
      </c>
      <c r="AS347" s="78">
        <v>4.1602465331278891E-2</v>
      </c>
      <c r="AT347" s="78">
        <v>-6.1349693251533744E-3</v>
      </c>
      <c r="AU347" s="56">
        <v>1.2167300380228136E-2</v>
      </c>
      <c r="AV347" s="78">
        <v>7.9617834394904458E-3</v>
      </c>
      <c r="AW347" s="78">
        <v>4.746835443037975E-2</v>
      </c>
      <c r="AX347" s="78">
        <v>3.4645669291338582E-2</v>
      </c>
      <c r="AY347" s="78">
        <v>2.3041474654377881E-2</v>
      </c>
      <c r="AZ347" s="56">
        <v>2.8279654359780047E-2</v>
      </c>
      <c r="BA347" s="78">
        <v>3.2310177705977385E-3</v>
      </c>
    </row>
    <row r="348" spans="1:53" s="36" customFormat="1">
      <c r="A348" s="69" t="s">
        <v>39</v>
      </c>
      <c r="B348" s="56">
        <f t="shared" ref="B348:AG348" si="338">B320/B282</f>
        <v>0.1248932536293766</v>
      </c>
      <c r="C348" s="78">
        <f t="shared" si="338"/>
        <v>0.13895993179880647</v>
      </c>
      <c r="D348" s="78">
        <f t="shared" si="338"/>
        <v>0.15151515151515152</v>
      </c>
      <c r="E348" s="78">
        <f t="shared" si="338"/>
        <v>0.17380560131795716</v>
      </c>
      <c r="F348" s="78">
        <f t="shared" si="338"/>
        <v>0.11247803163444639</v>
      </c>
      <c r="G348" s="56">
        <f t="shared" si="338"/>
        <v>0.14470613197538723</v>
      </c>
      <c r="H348" s="78">
        <f t="shared" si="338"/>
        <v>0.18181818181818182</v>
      </c>
      <c r="I348" s="78">
        <f t="shared" si="338"/>
        <v>0.17310549777117384</v>
      </c>
      <c r="J348" s="78">
        <f t="shared" si="338"/>
        <v>0.1683673469387755</v>
      </c>
      <c r="K348" s="78">
        <f t="shared" si="338"/>
        <v>0.12993539124192391</v>
      </c>
      <c r="L348" s="56">
        <f t="shared" si="338"/>
        <v>0.16276041666666666</v>
      </c>
      <c r="M348" s="78">
        <f t="shared" si="338"/>
        <v>0.18592964824120603</v>
      </c>
      <c r="N348" s="78">
        <f t="shared" si="338"/>
        <v>0.1868439468159552</v>
      </c>
      <c r="O348" s="78">
        <f t="shared" si="338"/>
        <v>0.16574202496532595</v>
      </c>
      <c r="P348" s="78">
        <f t="shared" si="338"/>
        <v>0.18256130790190736</v>
      </c>
      <c r="Q348" s="56">
        <f t="shared" si="338"/>
        <v>0.18021632937892534</v>
      </c>
      <c r="R348" s="78">
        <f t="shared" si="338"/>
        <v>0.21379310344827587</v>
      </c>
      <c r="S348" s="78">
        <f t="shared" si="338"/>
        <v>0.19401947148817802</v>
      </c>
      <c r="T348" s="78">
        <f t="shared" si="338"/>
        <v>0.18508092892329345</v>
      </c>
      <c r="U348" s="78">
        <f t="shared" si="338"/>
        <v>0.16464891041162227</v>
      </c>
      <c r="V348" s="56">
        <f t="shared" si="338"/>
        <v>0.19033886085075702</v>
      </c>
      <c r="W348" s="78">
        <f t="shared" si="338"/>
        <v>0.17363344051446947</v>
      </c>
      <c r="X348" s="78">
        <f t="shared" si="338"/>
        <v>0.16898954703832753</v>
      </c>
      <c r="Y348" s="78">
        <f t="shared" si="338"/>
        <v>0.14680648236415633</v>
      </c>
      <c r="Z348" s="78">
        <f t="shared" si="338"/>
        <v>0.13047711781888996</v>
      </c>
      <c r="AA348" s="56">
        <f t="shared" si="338"/>
        <v>0.15622202327663384</v>
      </c>
      <c r="AB348" s="78">
        <f t="shared" si="338"/>
        <v>0.15871369294605808</v>
      </c>
      <c r="AC348" s="78">
        <f t="shared" si="338"/>
        <v>0.17595628415300546</v>
      </c>
      <c r="AD348" s="78">
        <f t="shared" si="338"/>
        <v>0.14783526927138332</v>
      </c>
      <c r="AE348" s="78">
        <f t="shared" si="338"/>
        <v>6.8158697863682602E-2</v>
      </c>
      <c r="AF348" s="56">
        <f t="shared" si="338"/>
        <v>0.1367813074297716</v>
      </c>
      <c r="AG348" s="78">
        <f t="shared" si="338"/>
        <v>0.11777535441657579</v>
      </c>
      <c r="AH348" s="78">
        <f t="shared" ref="AH348:BA348" si="339">AH320/AH282</f>
        <v>0.12574139976275209</v>
      </c>
      <c r="AI348" s="78">
        <f t="shared" si="339"/>
        <v>0.12135922330097088</v>
      </c>
      <c r="AJ348" s="78">
        <f t="shared" si="339"/>
        <v>7.0658682634730532E-2</v>
      </c>
      <c r="AK348" s="56">
        <v>0.1090962269669494</v>
      </c>
      <c r="AL348" s="78">
        <v>4.951856946354883E-2</v>
      </c>
      <c r="AM348" s="78">
        <v>6.7961165048543687E-2</v>
      </c>
      <c r="AN348" s="78">
        <v>7.5445816186556922E-2</v>
      </c>
      <c r="AO348" s="78">
        <v>1.5427769985974754E-2</v>
      </c>
      <c r="AP348" s="56">
        <v>5.2249134948096888E-2</v>
      </c>
      <c r="AQ348" s="78">
        <v>1.9374068554396422E-2</v>
      </c>
      <c r="AR348" s="78">
        <v>1.9756838905775075E-2</v>
      </c>
      <c r="AS348" s="78">
        <v>4.930662557781202E-2</v>
      </c>
      <c r="AT348" s="78">
        <v>4.601226993865031E-3</v>
      </c>
      <c r="AU348" s="56">
        <v>2.3193916349809884E-2</v>
      </c>
      <c r="AV348" s="78">
        <v>2.5477707006369428E-2</v>
      </c>
      <c r="AW348" s="78">
        <v>5.3797468354430382E-2</v>
      </c>
      <c r="AX348" s="78">
        <v>3.7795275590551181E-2</v>
      </c>
      <c r="AY348" s="78">
        <v>3.2258064516129031E-2</v>
      </c>
      <c r="AZ348" s="56">
        <v>3.7313432835820892E-2</v>
      </c>
      <c r="BA348" s="78">
        <v>1.4539579967689823E-2</v>
      </c>
    </row>
    <row r="349" spans="1:53" s="36" customFormat="1">
      <c r="A349" s="69" t="s">
        <v>10</v>
      </c>
      <c r="B349" s="56">
        <f t="shared" ref="B349:M349" si="340">B323/B282</f>
        <v>0.27412467976088811</v>
      </c>
      <c r="C349" s="78">
        <f t="shared" si="340"/>
        <v>0.29326513213981242</v>
      </c>
      <c r="D349" s="78">
        <f t="shared" si="340"/>
        <v>0.33333333333333331</v>
      </c>
      <c r="E349" s="78">
        <f t="shared" si="340"/>
        <v>0.34761120263591433</v>
      </c>
      <c r="F349" s="78">
        <f t="shared" si="340"/>
        <v>0.25834797891036909</v>
      </c>
      <c r="G349" s="56">
        <f t="shared" si="340"/>
        <v>0.30893273923191172</v>
      </c>
      <c r="H349" s="78">
        <f t="shared" si="340"/>
        <v>0.34861660079051382</v>
      </c>
      <c r="I349" s="78">
        <f t="shared" si="340"/>
        <v>0.35066864784546803</v>
      </c>
      <c r="J349" s="78">
        <f t="shared" si="340"/>
        <v>0.3432944606413994</v>
      </c>
      <c r="K349" s="78">
        <f t="shared" si="340"/>
        <v>0.29432878679109836</v>
      </c>
      <c r="L349" s="56">
        <f t="shared" si="340"/>
        <v>0.33370535714285715</v>
      </c>
      <c r="M349" s="78">
        <f t="shared" si="340"/>
        <v>0.33811916726489588</v>
      </c>
      <c r="N349" s="78">
        <v>0.35799999999999998</v>
      </c>
      <c r="O349" s="78">
        <f t="shared" ref="O349:Z349" si="341">O323/O282</f>
        <v>0.35020804438280168</v>
      </c>
      <c r="P349" s="78">
        <f t="shared" si="341"/>
        <v>0.33855585831062668</v>
      </c>
      <c r="Q349" s="56">
        <f t="shared" si="341"/>
        <v>0.34612700628053034</v>
      </c>
      <c r="R349" s="78">
        <f t="shared" si="341"/>
        <v>0.37172413793103448</v>
      </c>
      <c r="S349" s="78">
        <f t="shared" si="341"/>
        <v>0.34770514603616132</v>
      </c>
      <c r="T349" s="78">
        <f t="shared" si="341"/>
        <v>0.33849401829697395</v>
      </c>
      <c r="U349" s="78">
        <f t="shared" si="341"/>
        <v>0.32364810330912025</v>
      </c>
      <c r="V349" s="56">
        <f t="shared" si="341"/>
        <v>0.34625090122566693</v>
      </c>
      <c r="W349" s="78">
        <f t="shared" si="341"/>
        <v>0.32315112540192925</v>
      </c>
      <c r="X349" s="78">
        <f t="shared" si="341"/>
        <v>0.34494773519163763</v>
      </c>
      <c r="Y349" s="78">
        <f t="shared" si="341"/>
        <v>0.31363203050524308</v>
      </c>
      <c r="Z349" s="78">
        <f t="shared" si="341"/>
        <v>0.28821811100292111</v>
      </c>
      <c r="AA349" s="56">
        <v>0.31900000000000001</v>
      </c>
      <c r="AB349" s="78">
        <f t="shared" ref="AB349:BA349" si="342">AB323/AB282</f>
        <v>0.30601659751037347</v>
      </c>
      <c r="AC349" s="78">
        <f t="shared" si="342"/>
        <v>0.32677595628415301</v>
      </c>
      <c r="AD349" s="78">
        <f t="shared" si="342"/>
        <v>0.29883843717001057</v>
      </c>
      <c r="AE349" s="78">
        <f t="shared" si="342"/>
        <v>0.19125127161749747</v>
      </c>
      <c r="AF349" s="56">
        <f t="shared" si="342"/>
        <v>0.27960094512995537</v>
      </c>
      <c r="AG349" s="78">
        <f t="shared" si="342"/>
        <v>0.25299890948745912</v>
      </c>
      <c r="AH349" s="78">
        <f t="shared" si="342"/>
        <v>0.27520759193357058</v>
      </c>
      <c r="AI349" s="78">
        <f t="shared" si="342"/>
        <v>0.2803398058252427</v>
      </c>
      <c r="AJ349" s="78">
        <f t="shared" si="342"/>
        <v>0.22035928143712574</v>
      </c>
      <c r="AK349" s="56">
        <v>0.25709271716876281</v>
      </c>
      <c r="AL349" s="78">
        <v>0.18707015130674004</v>
      </c>
      <c r="AM349" s="78">
        <v>0.22052704576976423</v>
      </c>
      <c r="AN349" s="78">
        <v>0.23319615912208505</v>
      </c>
      <c r="AO349" s="78">
        <v>0.15568022440392706</v>
      </c>
      <c r="AP349" s="56">
        <v>0.19930795847750865</v>
      </c>
      <c r="AQ349" s="78">
        <v>0.15648286140089418</v>
      </c>
      <c r="AR349" s="78">
        <v>0.15653495440729484</v>
      </c>
      <c r="AS349" s="78">
        <v>0.18335901386748846</v>
      </c>
      <c r="AT349" s="78">
        <v>0.1303680981595092</v>
      </c>
      <c r="AU349" s="56">
        <v>0.15665399239543726</v>
      </c>
      <c r="AV349" s="78">
        <v>0.15764331210191082</v>
      </c>
      <c r="AW349" s="78">
        <v>0.20411392405063292</v>
      </c>
      <c r="AX349" s="78">
        <v>0.1921259842519685</v>
      </c>
      <c r="AY349" s="78">
        <v>0.16129032258064516</v>
      </c>
      <c r="AZ349" s="56">
        <v>0.17871170463472114</v>
      </c>
      <c r="BA349" s="78">
        <v>0.25848142164781907</v>
      </c>
    </row>
    <row r="350" spans="1:53" s="36" customFormat="1">
      <c r="A350" s="69" t="s">
        <v>19</v>
      </c>
      <c r="B350" s="56">
        <f t="shared" ref="B350:AG350" si="343">B334/B282</f>
        <v>8.1340734415029883E-2</v>
      </c>
      <c r="C350" s="78">
        <f t="shared" si="343"/>
        <v>8.780903665814152E-2</v>
      </c>
      <c r="D350" s="78">
        <f t="shared" si="343"/>
        <v>0.1531986531986532</v>
      </c>
      <c r="E350" s="78">
        <f t="shared" si="343"/>
        <v>0.28830313014827019</v>
      </c>
      <c r="F350" s="78">
        <f t="shared" si="343"/>
        <v>0.14323374340949033</v>
      </c>
      <c r="G350" s="56">
        <f t="shared" si="343"/>
        <v>0.16931890515595163</v>
      </c>
      <c r="H350" s="78">
        <f t="shared" si="343"/>
        <v>0.11778656126482213</v>
      </c>
      <c r="I350" s="78">
        <f t="shared" si="343"/>
        <v>0.12109955423476969</v>
      </c>
      <c r="J350" s="78">
        <f t="shared" si="343"/>
        <v>0.10641399416909621</v>
      </c>
      <c r="K350" s="78">
        <f t="shared" si="343"/>
        <v>7.2505384063173015E-2</v>
      </c>
      <c r="L350" s="56">
        <f t="shared" si="343"/>
        <v>0.10398065476190477</v>
      </c>
      <c r="M350" s="78">
        <f t="shared" si="343"/>
        <v>6.604450825556353E-2</v>
      </c>
      <c r="N350" s="78">
        <f t="shared" si="343"/>
        <v>7.9776067179846047E-2</v>
      </c>
      <c r="O350" s="78">
        <f t="shared" si="343"/>
        <v>6.8654646324549234E-2</v>
      </c>
      <c r="P350" s="78">
        <f t="shared" si="343"/>
        <v>6.2670299727520432E-2</v>
      </c>
      <c r="Q350" s="56">
        <f t="shared" si="343"/>
        <v>6.9260293091416611E-2</v>
      </c>
      <c r="R350" s="78">
        <f t="shared" si="343"/>
        <v>9.1724137931034483E-2</v>
      </c>
      <c r="S350" s="78">
        <f t="shared" si="343"/>
        <v>5.9805285118219746E-2</v>
      </c>
      <c r="T350" s="78">
        <f t="shared" si="343"/>
        <v>7.5299085151301903E-2</v>
      </c>
      <c r="U350" s="78">
        <f t="shared" si="343"/>
        <v>7.5060532687651338E-2</v>
      </c>
      <c r="V350" s="56">
        <f t="shared" si="343"/>
        <v>7.5522710886806052E-2</v>
      </c>
      <c r="W350" s="78">
        <f t="shared" si="343"/>
        <v>9.2443729903536984E-2</v>
      </c>
      <c r="X350" s="78">
        <f t="shared" si="343"/>
        <v>9.4947735191637628E-2</v>
      </c>
      <c r="Y350" s="78">
        <f t="shared" si="343"/>
        <v>8.0076263107721646E-2</v>
      </c>
      <c r="Z350" s="78">
        <f t="shared" si="343"/>
        <v>7.4001947419668937E-2</v>
      </c>
      <c r="AA350" s="56">
        <f t="shared" si="343"/>
        <v>8.5944494180841546E-2</v>
      </c>
      <c r="AB350" s="78">
        <f t="shared" si="343"/>
        <v>6.8464730290456438E-2</v>
      </c>
      <c r="AC350" s="78">
        <f t="shared" si="343"/>
        <v>9.1803278688524587E-2</v>
      </c>
      <c r="AD350" s="78">
        <f t="shared" si="343"/>
        <v>9.714889123548047E-2</v>
      </c>
      <c r="AE350" s="78">
        <f t="shared" si="343"/>
        <v>7.9348931841302137E-2</v>
      </c>
      <c r="AF350" s="56">
        <f t="shared" si="343"/>
        <v>8.4011551588343392E-2</v>
      </c>
      <c r="AG350" s="78">
        <f t="shared" si="343"/>
        <v>7.9607415485278082E-2</v>
      </c>
      <c r="AH350" s="78">
        <f t="shared" ref="AH350:BA350" si="344">AH334/AH282</f>
        <v>0.10676156583629894</v>
      </c>
      <c r="AI350" s="78">
        <f t="shared" si="344"/>
        <v>0.10194174757281553</v>
      </c>
      <c r="AJ350" s="78">
        <f t="shared" si="344"/>
        <v>9.8203592814371257E-2</v>
      </c>
      <c r="AK350" s="56">
        <v>9.6226966949400403E-2</v>
      </c>
      <c r="AL350" s="78">
        <v>0.10041265474552957</v>
      </c>
      <c r="AM350" s="78">
        <v>0.27600554785020803</v>
      </c>
      <c r="AN350" s="78">
        <v>0.12482853223593965</v>
      </c>
      <c r="AO350" s="78">
        <v>9.1164095371669002E-2</v>
      </c>
      <c r="AP350" s="56">
        <v>0.14809688581314878</v>
      </c>
      <c r="AQ350" s="78">
        <v>7.7496274217585689E-2</v>
      </c>
      <c r="AR350" s="78">
        <v>9.5744680851063829E-2</v>
      </c>
      <c r="AS350" s="78">
        <v>9.861325115562404E-2</v>
      </c>
      <c r="AT350" s="78">
        <v>9.815950920245399E-2</v>
      </c>
      <c r="AU350" s="56">
        <v>9.2395437262357411E-2</v>
      </c>
      <c r="AV350" s="78">
        <v>0.11624203821656051</v>
      </c>
      <c r="AW350" s="78">
        <v>0.12974683544303797</v>
      </c>
      <c r="AX350" s="78">
        <v>0.12283464566929134</v>
      </c>
      <c r="AY350" s="78">
        <v>0.11827956989247312</v>
      </c>
      <c r="AZ350" s="56">
        <v>0.12175962293794187</v>
      </c>
      <c r="BA350" s="78">
        <v>0.11147011308562198</v>
      </c>
    </row>
    <row r="351" spans="1:53" s="36" customFormat="1" ht="4.5" customHeight="1">
      <c r="A351" s="44"/>
      <c r="B351" s="44"/>
      <c r="C351" s="44"/>
      <c r="D351" s="44"/>
      <c r="E351" s="44"/>
      <c r="F351" s="44"/>
      <c r="G351" s="44"/>
      <c r="H351" s="44"/>
      <c r="I351" s="44"/>
      <c r="J351" s="44"/>
      <c r="K351" s="44"/>
      <c r="L351" s="44"/>
      <c r="M351" s="44"/>
      <c r="N351" s="44"/>
      <c r="O351" s="44"/>
      <c r="P351" s="44"/>
      <c r="Q351" s="44"/>
      <c r="R351" s="44"/>
      <c r="S351" s="44"/>
      <c r="T351" s="44"/>
      <c r="U351" s="44"/>
      <c r="V351" s="44"/>
      <c r="W351" s="44"/>
      <c r="X351" s="44"/>
      <c r="Y351" s="44"/>
      <c r="Z351" s="44"/>
      <c r="AA351" s="44"/>
      <c r="AB351" s="44"/>
      <c r="AC351" s="44"/>
      <c r="AD351" s="44"/>
      <c r="AE351" s="44"/>
      <c r="AF351" s="44"/>
      <c r="AG351" s="44"/>
      <c r="AH351" s="44"/>
      <c r="AI351" s="44"/>
      <c r="AJ351" s="44"/>
      <c r="AK351" s="44"/>
      <c r="AL351" s="44"/>
      <c r="AM351" s="44"/>
      <c r="AN351" s="44"/>
      <c r="AO351" s="44"/>
      <c r="AP351" s="44"/>
      <c r="AQ351" s="44"/>
      <c r="AR351" s="44"/>
      <c r="AS351" s="44"/>
      <c r="AT351" s="44"/>
      <c r="AU351" s="44"/>
      <c r="AV351" s="44"/>
      <c r="AW351" s="44"/>
      <c r="AX351" s="44"/>
      <c r="AY351" s="44"/>
      <c r="AZ351" s="44"/>
      <c r="BA351" s="44"/>
    </row>
    <row r="352" spans="1:53" ht="20.25">
      <c r="A352" s="35" t="s">
        <v>15</v>
      </c>
      <c r="B352" s="28"/>
      <c r="C352" s="28"/>
      <c r="D352" s="28"/>
      <c r="E352" s="28"/>
      <c r="F352" s="28"/>
      <c r="G352" s="28"/>
      <c r="H352" s="28"/>
      <c r="I352" s="28"/>
      <c r="J352" s="28"/>
      <c r="K352" s="28"/>
      <c r="L352" s="28"/>
      <c r="M352" s="28"/>
      <c r="N352" s="28"/>
      <c r="O352" s="28"/>
      <c r="P352" s="28"/>
      <c r="Q352" s="28"/>
      <c r="R352" s="28"/>
      <c r="S352" s="28"/>
      <c r="T352" s="28"/>
      <c r="U352" s="28"/>
      <c r="V352" s="28"/>
      <c r="W352" s="28"/>
      <c r="X352" s="28"/>
      <c r="Y352" s="28"/>
      <c r="Z352" s="28"/>
      <c r="AA352" s="28"/>
      <c r="AB352" s="28"/>
      <c r="AC352" s="28"/>
      <c r="AD352" s="28"/>
      <c r="AE352" s="28"/>
      <c r="AF352" s="28"/>
      <c r="AG352" s="28"/>
      <c r="AH352" s="28"/>
      <c r="AI352" s="28"/>
      <c r="AJ352" s="28"/>
      <c r="AK352" s="28"/>
      <c r="AL352" s="28"/>
      <c r="AM352" s="28"/>
      <c r="AN352" s="28"/>
      <c r="AO352" s="28"/>
      <c r="AP352" s="28"/>
      <c r="AQ352" s="28"/>
      <c r="AR352" s="28"/>
      <c r="AS352" s="28"/>
      <c r="AT352" s="28"/>
      <c r="AU352" s="28"/>
      <c r="AV352" s="28"/>
      <c r="AW352" s="28"/>
      <c r="AX352" s="28"/>
      <c r="AY352" s="28"/>
      <c r="AZ352" s="28"/>
      <c r="BA352" s="28"/>
    </row>
    <row r="353" spans="1:53">
      <c r="A353" s="40" t="s">
        <v>80</v>
      </c>
      <c r="B353" s="41"/>
      <c r="C353" s="41"/>
      <c r="D353" s="41"/>
      <c r="E353" s="41"/>
      <c r="F353" s="41"/>
      <c r="G353" s="41"/>
      <c r="H353" s="41"/>
      <c r="I353" s="41"/>
      <c r="J353" s="41"/>
      <c r="K353" s="41"/>
      <c r="L353" s="41"/>
      <c r="M353" s="41"/>
      <c r="N353" s="41"/>
      <c r="O353" s="41"/>
      <c r="P353" s="41"/>
      <c r="Q353" s="41"/>
      <c r="R353" s="41"/>
      <c r="S353" s="41"/>
      <c r="T353" s="41"/>
      <c r="U353" s="41"/>
      <c r="V353" s="41"/>
      <c r="W353" s="41"/>
      <c r="X353" s="41"/>
      <c r="Y353" s="41"/>
      <c r="Z353" s="41"/>
      <c r="AA353" s="41"/>
      <c r="AB353" s="41"/>
      <c r="AC353" s="41"/>
      <c r="AD353" s="41"/>
      <c r="AE353" s="41"/>
      <c r="AF353" s="41"/>
      <c r="AG353" s="41"/>
      <c r="AH353" s="41"/>
      <c r="AI353" s="41"/>
      <c r="AJ353" s="41"/>
      <c r="AK353" s="41"/>
      <c r="AL353" s="41"/>
      <c r="AM353" s="41"/>
      <c r="AN353" s="41"/>
      <c r="AO353" s="41"/>
      <c r="AP353" s="41"/>
      <c r="AQ353" s="41"/>
      <c r="AR353" s="41"/>
      <c r="AS353" s="41"/>
      <c r="AT353" s="41"/>
      <c r="AU353" s="41"/>
      <c r="AV353" s="41"/>
      <c r="AW353" s="41"/>
      <c r="AX353" s="41"/>
      <c r="AY353" s="41"/>
      <c r="AZ353" s="41"/>
      <c r="BA353" s="41"/>
    </row>
    <row r="354" spans="1:53" s="36" customFormat="1">
      <c r="A354" s="69" t="s">
        <v>64</v>
      </c>
      <c r="B354" s="37">
        <v>1303.623</v>
      </c>
      <c r="C354" s="70">
        <v>313.89999999999998</v>
      </c>
      <c r="D354" s="70">
        <v>325.858</v>
      </c>
      <c r="E354" s="70">
        <v>328.83300000000003</v>
      </c>
      <c r="F354" s="70">
        <f>G354-E354-D354-C354</f>
        <v>337.18799999999999</v>
      </c>
      <c r="G354" s="37">
        <v>1305.779</v>
      </c>
      <c r="H354" s="70">
        <v>324.49</v>
      </c>
      <c r="I354" s="70">
        <v>326.71300000000002</v>
      </c>
      <c r="J354" s="70">
        <v>332.48399999999998</v>
      </c>
      <c r="K354" s="70">
        <f>L354-J354-I354-H354</f>
        <v>333.98099999999999</v>
      </c>
      <c r="L354" s="37">
        <v>1317.6679999999999</v>
      </c>
      <c r="M354" s="70">
        <v>343.12</v>
      </c>
      <c r="N354" s="70">
        <v>340</v>
      </c>
      <c r="O354" s="70">
        <v>347.37700000000001</v>
      </c>
      <c r="P354" s="70">
        <f>Q354-O354-N354-M354</f>
        <v>349.97200000000009</v>
      </c>
      <c r="Q354" s="37">
        <v>1380.4690000000001</v>
      </c>
      <c r="R354" s="70">
        <v>329.40699999999998</v>
      </c>
      <c r="S354" s="70">
        <v>332.44099999999997</v>
      </c>
      <c r="T354" s="70">
        <v>350.678</v>
      </c>
      <c r="U354" s="70">
        <f>V354-T354-S354-R354</f>
        <v>341.07600000000019</v>
      </c>
      <c r="V354" s="37">
        <v>1353.6020000000001</v>
      </c>
      <c r="W354" s="70">
        <v>332.22199999999998</v>
      </c>
      <c r="X354" s="70">
        <v>329.83300000000003</v>
      </c>
      <c r="Y354" s="70">
        <v>338.55399999999997</v>
      </c>
      <c r="Z354" s="70">
        <f>AA354-Y354-X354-W354</f>
        <v>339.50800000000004</v>
      </c>
      <c r="AA354" s="37">
        <v>1340.117</v>
      </c>
      <c r="AB354" s="70">
        <v>345.57600000000002</v>
      </c>
      <c r="AC354" s="70">
        <v>358.74400000000003</v>
      </c>
      <c r="AD354" s="70">
        <v>359.62400000000002</v>
      </c>
      <c r="AE354" s="70">
        <f>AF354-AD354-AC354-AB354</f>
        <v>368.81699999999989</v>
      </c>
      <c r="AF354" s="37">
        <v>1432.761</v>
      </c>
      <c r="AG354" s="70">
        <v>355</v>
      </c>
      <c r="AH354" s="70">
        <v>365</v>
      </c>
      <c r="AI354" s="70">
        <v>385</v>
      </c>
      <c r="AJ354" s="70">
        <f>AK354-AI354-AH354-AG354</f>
        <v>399</v>
      </c>
      <c r="AK354" s="37">
        <v>1504</v>
      </c>
      <c r="AL354" s="70">
        <v>393</v>
      </c>
      <c r="AM354" s="70">
        <v>391</v>
      </c>
      <c r="AN354" s="70">
        <v>389</v>
      </c>
      <c r="AO354" s="70">
        <v>405</v>
      </c>
      <c r="AP354" s="37">
        <v>1578</v>
      </c>
      <c r="AQ354" s="70">
        <v>395</v>
      </c>
      <c r="AR354" s="70">
        <v>377</v>
      </c>
      <c r="AS354" s="70">
        <v>384</v>
      </c>
      <c r="AT354" s="70">
        <v>392</v>
      </c>
      <c r="AU354" s="37">
        <v>1548</v>
      </c>
      <c r="AV354" s="70">
        <v>384</v>
      </c>
      <c r="AW354" s="70">
        <v>407</v>
      </c>
      <c r="AX354" s="70">
        <v>367</v>
      </c>
      <c r="AY354" s="70">
        <v>379</v>
      </c>
      <c r="AZ354" s="37">
        <v>1537</v>
      </c>
      <c r="BA354" s="70">
        <v>352</v>
      </c>
    </row>
    <row r="355" spans="1:53" ht="10.5" customHeight="1">
      <c r="A355" s="71" t="s">
        <v>7</v>
      </c>
      <c r="B355" s="24"/>
      <c r="C355" s="72"/>
      <c r="D355" s="72">
        <f>D354/C354-1</f>
        <v>3.8094934692577409E-2</v>
      </c>
      <c r="E355" s="72">
        <f>E354/D354-1</f>
        <v>9.1297436306612134E-3</v>
      </c>
      <c r="F355" s="72">
        <f>F354/E354-1</f>
        <v>2.5408033865214064E-2</v>
      </c>
      <c r="G355" s="24"/>
      <c r="H355" s="72">
        <f>H354/F354-1</f>
        <v>-3.7658516910447526E-2</v>
      </c>
      <c r="I355" s="72">
        <f>I354/H354-1</f>
        <v>6.8507504083330506E-3</v>
      </c>
      <c r="J355" s="72">
        <f>J354/I354-1</f>
        <v>1.7663821151897796E-2</v>
      </c>
      <c r="K355" s="72">
        <f>K354/J354-1</f>
        <v>4.5024722994189137E-3</v>
      </c>
      <c r="L355" s="24"/>
      <c r="M355" s="72">
        <f>M354/K354-1</f>
        <v>2.7363832074279726E-2</v>
      </c>
      <c r="N355" s="72">
        <f>N354/M354-1</f>
        <v>-9.0930286780135372E-3</v>
      </c>
      <c r="O355" s="72">
        <f>O354/N354-1</f>
        <v>2.1697058823529458E-2</v>
      </c>
      <c r="P355" s="72">
        <f>P354/O354-1</f>
        <v>7.4702700524216237E-3</v>
      </c>
      <c r="Q355" s="24"/>
      <c r="R355" s="72">
        <f>R354/P354-1</f>
        <v>-5.8761843804647551E-2</v>
      </c>
      <c r="S355" s="72">
        <f>S354/R354-1</f>
        <v>9.2104903660212845E-3</v>
      </c>
      <c r="T355" s="72">
        <f>T354/S354-1</f>
        <v>5.4857854476433543E-2</v>
      </c>
      <c r="U355" s="72">
        <f>U354/T354-1</f>
        <v>-2.7381244332406962E-2</v>
      </c>
      <c r="V355" s="24"/>
      <c r="W355" s="72">
        <f>W354/U354-1</f>
        <v>-2.5959023795283809E-2</v>
      </c>
      <c r="X355" s="72">
        <f>X354/W354-1</f>
        <v>-7.1909747096818855E-3</v>
      </c>
      <c r="Y355" s="72">
        <f>Y354/X354-1</f>
        <v>2.6440653300306316E-2</v>
      </c>
      <c r="Z355" s="72">
        <v>2.8178665737226272E-3</v>
      </c>
      <c r="AA355" s="24"/>
      <c r="AB355" s="72">
        <f>AB354/Z354-1</f>
        <v>1.7872921993001611E-2</v>
      </c>
      <c r="AC355" s="72">
        <f>AC354/AB354-1</f>
        <v>3.8104497997546227E-2</v>
      </c>
      <c r="AD355" s="72">
        <f>AD354/AC354-1</f>
        <v>2.4530026983029529E-3</v>
      </c>
      <c r="AE355" s="72">
        <f>AE354/AD354-1</f>
        <v>2.5562810046047657E-2</v>
      </c>
      <c r="AF355" s="24"/>
      <c r="AG355" s="72">
        <f>AG354/AE354-1</f>
        <v>-3.7463023667563822E-2</v>
      </c>
      <c r="AH355" s="72">
        <f>AH354/AG354-1</f>
        <v>2.8169014084507005E-2</v>
      </c>
      <c r="AI355" s="72">
        <f>AI354/AH354-1</f>
        <v>5.4794520547945202E-2</v>
      </c>
      <c r="AJ355" s="72">
        <f>AJ354/AI354-1</f>
        <v>3.6363636363636376E-2</v>
      </c>
      <c r="AK355" s="24"/>
      <c r="AL355" s="72">
        <v>-1.5037593984962405E-2</v>
      </c>
      <c r="AM355" s="72">
        <v>-5.0890585241730735E-3</v>
      </c>
      <c r="AN355" s="72">
        <v>-5.1150895140664732E-3</v>
      </c>
      <c r="AO355" s="72">
        <v>4.1131105398457546E-2</v>
      </c>
      <c r="AP355" s="24"/>
      <c r="AQ355" s="72">
        <v>-2.4691358024691357E-2</v>
      </c>
      <c r="AR355" s="72">
        <v>-4.5569620253164578E-2</v>
      </c>
      <c r="AS355" s="72">
        <v>1.8567639257294433E-2</v>
      </c>
      <c r="AT355" s="72">
        <v>2.0833333333333259E-2</v>
      </c>
      <c r="AU355" s="24"/>
      <c r="AV355" s="72">
        <v>-2.0408163265306145E-2</v>
      </c>
      <c r="AW355" s="72">
        <v>5.9895833333333259E-2</v>
      </c>
      <c r="AX355" s="72">
        <v>-9.8280098280098316E-2</v>
      </c>
      <c r="AY355" s="72">
        <v>3.2697547683923744E-2</v>
      </c>
      <c r="AZ355" s="24"/>
      <c r="BA355" s="72">
        <v>-7.1240105540897103E-2</v>
      </c>
    </row>
    <row r="356" spans="1:53" ht="11.25" customHeight="1">
      <c r="A356" s="71" t="s">
        <v>8</v>
      </c>
      <c r="B356" s="24"/>
      <c r="C356" s="73"/>
      <c r="D356" s="73"/>
      <c r="E356" s="73"/>
      <c r="F356" s="73"/>
      <c r="G356" s="24">
        <f t="shared" ref="G356:Y356" si="345">G354/B354-1</f>
        <v>1.6538523791003179E-3</v>
      </c>
      <c r="H356" s="73">
        <f t="shared" si="345"/>
        <v>3.3736858872252418E-2</v>
      </c>
      <c r="I356" s="73">
        <f t="shared" si="345"/>
        <v>2.6238422871311951E-3</v>
      </c>
      <c r="J356" s="73">
        <f t="shared" si="345"/>
        <v>1.1102900256360959E-2</v>
      </c>
      <c r="K356" s="73">
        <f t="shared" si="345"/>
        <v>-9.5110146268549967E-3</v>
      </c>
      <c r="L356" s="24">
        <f t="shared" si="345"/>
        <v>9.1049097894819742E-3</v>
      </c>
      <c r="M356" s="73">
        <f t="shared" si="345"/>
        <v>5.741317143825686E-2</v>
      </c>
      <c r="N356" s="73">
        <f t="shared" si="345"/>
        <v>4.0668721477259862E-2</v>
      </c>
      <c r="O356" s="73">
        <f t="shared" si="345"/>
        <v>4.479313290263609E-2</v>
      </c>
      <c r="P356" s="73">
        <f t="shared" si="345"/>
        <v>4.7879969219806195E-2</v>
      </c>
      <c r="Q356" s="24">
        <f t="shared" si="345"/>
        <v>4.7660715749339166E-2</v>
      </c>
      <c r="R356" s="73">
        <f t="shared" si="345"/>
        <v>-3.9965609699230686E-2</v>
      </c>
      <c r="S356" s="73">
        <f t="shared" si="345"/>
        <v>-2.2232352941176536E-2</v>
      </c>
      <c r="T356" s="73">
        <f t="shared" si="345"/>
        <v>9.5026441013652541E-3</v>
      </c>
      <c r="U356" s="73">
        <f t="shared" si="345"/>
        <v>-2.5419176391253906E-2</v>
      </c>
      <c r="V356" s="24">
        <f t="shared" si="345"/>
        <v>-1.9462226243399883E-2</v>
      </c>
      <c r="W356" s="73">
        <f t="shared" si="345"/>
        <v>8.545659321143706E-3</v>
      </c>
      <c r="X356" s="73">
        <f t="shared" si="345"/>
        <v>-7.8450010678584592E-3</v>
      </c>
      <c r="Y356" s="73">
        <f t="shared" si="345"/>
        <v>-3.4573027107488996E-2</v>
      </c>
      <c r="Z356" s="73">
        <v>-4.5972158697772381E-3</v>
      </c>
      <c r="AA356" s="24">
        <f t="shared" ref="AA356:AI356" si="346">AA354/V354-1</f>
        <v>-9.9623079753133892E-3</v>
      </c>
      <c r="AB356" s="73">
        <f t="shared" si="346"/>
        <v>4.0196013509039341E-2</v>
      </c>
      <c r="AC356" s="73">
        <f t="shared" si="346"/>
        <v>8.765344886654769E-2</v>
      </c>
      <c r="AD356" s="73">
        <f t="shared" si="346"/>
        <v>6.2235271182736085E-2</v>
      </c>
      <c r="AE356" s="73">
        <f t="shared" si="346"/>
        <v>8.6327862671865985E-2</v>
      </c>
      <c r="AF356" s="24">
        <f t="shared" si="346"/>
        <v>6.913127734369473E-2</v>
      </c>
      <c r="AG356" s="73">
        <f t="shared" si="346"/>
        <v>2.7270412297150104E-2</v>
      </c>
      <c r="AH356" s="73">
        <f t="shared" si="346"/>
        <v>1.743861918248113E-2</v>
      </c>
      <c r="AI356" s="73">
        <f t="shared" si="346"/>
        <v>7.0562587591484371E-2</v>
      </c>
      <c r="AJ356" s="73">
        <f t="shared" ref="AJ356:AS356" si="347">AJ354/AE354-1</f>
        <v>8.1837333962371916E-2</v>
      </c>
      <c r="AK356" s="24">
        <v>4.9721481810294899E-2</v>
      </c>
      <c r="AL356" s="73">
        <v>0.10704225352112684</v>
      </c>
      <c r="AM356" s="73">
        <v>7.1232876712328697E-2</v>
      </c>
      <c r="AN356" s="73">
        <v>1.0389610389610393E-2</v>
      </c>
      <c r="AO356" s="73">
        <v>1.5037593984962516E-2</v>
      </c>
      <c r="AP356" s="24">
        <v>4.9202127659574435E-2</v>
      </c>
      <c r="AQ356" s="73">
        <v>5.0890585241729624E-3</v>
      </c>
      <c r="AR356" s="73">
        <v>-3.5805626598465423E-2</v>
      </c>
      <c r="AS356" s="73">
        <v>-1.2853470437018011E-2</v>
      </c>
      <c r="AT356" s="73">
        <v>-3.2098765432098775E-2</v>
      </c>
      <c r="AU356" s="24">
        <v>-1.9011406844106515E-2</v>
      </c>
      <c r="AV356" s="73">
        <v>-2.7848101265822822E-2</v>
      </c>
      <c r="AW356" s="73">
        <v>7.9575596816976235E-2</v>
      </c>
      <c r="AX356" s="73">
        <v>-4.427083333333337E-2</v>
      </c>
      <c r="AY356" s="73">
        <v>-3.3163265306122458E-2</v>
      </c>
      <c r="AZ356" s="24">
        <v>-7.10594315245483E-3</v>
      </c>
      <c r="BA356" s="73">
        <v>-8.333333333333337E-2</v>
      </c>
    </row>
    <row r="357" spans="1:53" ht="3.75" customHeight="1">
      <c r="A357" s="40"/>
      <c r="B357" s="41"/>
      <c r="C357" s="41"/>
      <c r="D357" s="41"/>
      <c r="E357" s="41"/>
      <c r="F357" s="41"/>
      <c r="G357" s="41"/>
      <c r="H357" s="41"/>
      <c r="I357" s="41"/>
      <c r="J357" s="41"/>
      <c r="K357" s="41"/>
      <c r="L357" s="41"/>
      <c r="M357" s="41"/>
      <c r="N357" s="41"/>
      <c r="O357" s="41"/>
      <c r="P357" s="41"/>
      <c r="Q357" s="41"/>
      <c r="R357" s="41"/>
      <c r="S357" s="41"/>
      <c r="T357" s="41"/>
      <c r="U357" s="41"/>
      <c r="V357" s="41"/>
      <c r="W357" s="41"/>
      <c r="X357" s="41"/>
      <c r="Y357" s="41"/>
      <c r="Z357" s="41"/>
      <c r="AA357" s="41"/>
      <c r="AB357" s="41"/>
      <c r="AC357" s="41"/>
      <c r="AD357" s="41"/>
      <c r="AE357" s="41"/>
      <c r="AF357" s="41"/>
      <c r="AG357" s="41"/>
      <c r="AH357" s="41"/>
      <c r="AI357" s="41"/>
      <c r="AJ357" s="41"/>
      <c r="AK357" s="41"/>
      <c r="AL357" s="41"/>
      <c r="AM357" s="41"/>
      <c r="AN357" s="41"/>
      <c r="AO357" s="41"/>
      <c r="AP357" s="41"/>
      <c r="AQ357" s="41"/>
      <c r="AR357" s="41"/>
      <c r="AS357" s="41"/>
      <c r="AT357" s="41"/>
      <c r="AU357" s="41"/>
      <c r="AV357" s="41"/>
      <c r="AW357" s="41"/>
      <c r="AX357" s="41"/>
      <c r="AY357" s="41"/>
      <c r="AZ357" s="41"/>
      <c r="BA357" s="41"/>
    </row>
    <row r="358" spans="1:53">
      <c r="A358" s="69" t="s">
        <v>146</v>
      </c>
      <c r="B358" s="123" t="s">
        <v>45</v>
      </c>
      <c r="C358" s="80" t="s">
        <v>53</v>
      </c>
      <c r="D358" s="80" t="s">
        <v>53</v>
      </c>
      <c r="E358" s="80" t="s">
        <v>53</v>
      </c>
      <c r="F358" s="80" t="s">
        <v>53</v>
      </c>
      <c r="G358" s="37">
        <v>502</v>
      </c>
      <c r="H358" s="80" t="s">
        <v>53</v>
      </c>
      <c r="I358" s="80" t="s">
        <v>53</v>
      </c>
      <c r="J358" s="80" t="s">
        <v>53</v>
      </c>
      <c r="K358" s="80" t="s">
        <v>53</v>
      </c>
      <c r="L358" s="37">
        <v>502</v>
      </c>
      <c r="M358" s="80" t="s">
        <v>53</v>
      </c>
      <c r="N358" s="80" t="s">
        <v>53</v>
      </c>
      <c r="O358" s="80" t="s">
        <v>53</v>
      </c>
      <c r="P358" s="80" t="s">
        <v>53</v>
      </c>
      <c r="Q358" s="37">
        <v>501</v>
      </c>
      <c r="R358" s="80" t="s">
        <v>53</v>
      </c>
      <c r="S358" s="80" t="s">
        <v>53</v>
      </c>
      <c r="T358" s="80" t="s">
        <v>53</v>
      </c>
      <c r="U358" s="80" t="s">
        <v>53</v>
      </c>
      <c r="V358" s="37">
        <v>413</v>
      </c>
      <c r="W358" s="80" t="s">
        <v>53</v>
      </c>
      <c r="X358" s="80" t="s">
        <v>53</v>
      </c>
      <c r="Y358" s="80" t="s">
        <v>53</v>
      </c>
      <c r="Z358" s="80" t="s">
        <v>53</v>
      </c>
      <c r="AA358" s="37">
        <v>383</v>
      </c>
      <c r="AB358" s="80" t="s">
        <v>53</v>
      </c>
      <c r="AC358" s="80" t="s">
        <v>53</v>
      </c>
      <c r="AD358" s="80" t="s">
        <v>53</v>
      </c>
      <c r="AE358" s="80" t="s">
        <v>53</v>
      </c>
      <c r="AF358" s="37">
        <v>401</v>
      </c>
      <c r="AG358" s="80" t="s">
        <v>53</v>
      </c>
      <c r="AH358" s="80" t="s">
        <v>53</v>
      </c>
      <c r="AI358" s="80" t="s">
        <v>53</v>
      </c>
      <c r="AJ358" s="80" t="s">
        <v>53</v>
      </c>
      <c r="AK358" s="37">
        <v>395</v>
      </c>
      <c r="AL358" s="80" t="s">
        <v>53</v>
      </c>
      <c r="AM358" s="80" t="s">
        <v>53</v>
      </c>
      <c r="AN358" s="80" t="s">
        <v>53</v>
      </c>
      <c r="AO358" s="80" t="s">
        <v>53</v>
      </c>
      <c r="AP358" s="37">
        <v>379</v>
      </c>
      <c r="AQ358" s="80" t="s">
        <v>53</v>
      </c>
      <c r="AR358" s="80" t="s">
        <v>53</v>
      </c>
      <c r="AS358" s="80" t="s">
        <v>53</v>
      </c>
      <c r="AT358" s="80" t="s">
        <v>53</v>
      </c>
      <c r="AU358" s="37">
        <v>325</v>
      </c>
      <c r="AV358" s="80" t="s">
        <v>53</v>
      </c>
      <c r="AW358" s="80" t="s">
        <v>53</v>
      </c>
      <c r="AX358" s="80" t="s">
        <v>53</v>
      </c>
      <c r="AY358" s="80" t="s">
        <v>53</v>
      </c>
      <c r="AZ358" s="37">
        <v>268</v>
      </c>
      <c r="BA358" s="80" t="s">
        <v>53</v>
      </c>
    </row>
    <row r="359" spans="1:53" ht="9.75" customHeight="1">
      <c r="A359" s="71" t="s">
        <v>144</v>
      </c>
      <c r="B359" s="24"/>
      <c r="C359" s="73"/>
      <c r="D359" s="73"/>
      <c r="E359" s="73"/>
      <c r="F359" s="73"/>
      <c r="G359" s="24">
        <f>G358/G354</f>
        <v>0.38444484097232379</v>
      </c>
      <c r="H359" s="73"/>
      <c r="I359" s="73"/>
      <c r="J359" s="73"/>
      <c r="K359" s="73"/>
      <c r="L359" s="24">
        <f>L358/L354</f>
        <v>0.3809760880586005</v>
      </c>
      <c r="M359" s="73"/>
      <c r="N359" s="73"/>
      <c r="O359" s="73"/>
      <c r="P359" s="73"/>
      <c r="Q359" s="24">
        <f>Q358/Q354</f>
        <v>0.36292013801106726</v>
      </c>
      <c r="R359" s="73"/>
      <c r="S359" s="73"/>
      <c r="T359" s="73"/>
      <c r="U359" s="73"/>
      <c r="V359" s="24">
        <f>V358/V354</f>
        <v>0.30511184232883815</v>
      </c>
      <c r="W359" s="73"/>
      <c r="X359" s="73"/>
      <c r="Y359" s="73"/>
      <c r="Z359" s="73"/>
      <c r="AA359" s="24">
        <f>AA358/AA354</f>
        <v>0.2857959416976279</v>
      </c>
      <c r="AB359" s="73"/>
      <c r="AC359" s="73"/>
      <c r="AD359" s="73"/>
      <c r="AE359" s="73"/>
      <c r="AF359" s="24">
        <f>AF358/AF354</f>
        <v>0.27987919827521829</v>
      </c>
      <c r="AG359" s="73"/>
      <c r="AH359" s="73"/>
      <c r="AI359" s="73"/>
      <c r="AJ359" s="73"/>
      <c r="AK359" s="24">
        <v>0.26263297872340424</v>
      </c>
      <c r="AL359" s="73"/>
      <c r="AM359" s="73"/>
      <c r="AN359" s="73"/>
      <c r="AO359" s="73"/>
      <c r="AP359" s="24">
        <v>0.24017743979721165</v>
      </c>
      <c r="AQ359" s="73"/>
      <c r="AR359" s="73"/>
      <c r="AS359" s="73"/>
      <c r="AT359" s="73"/>
      <c r="AU359" s="24">
        <v>0.2099483204134367</v>
      </c>
      <c r="AV359" s="73"/>
      <c r="AW359" s="73"/>
      <c r="AX359" s="73"/>
      <c r="AY359" s="73"/>
      <c r="AZ359" s="24">
        <v>0.17436564736499674</v>
      </c>
      <c r="BA359" s="73"/>
    </row>
    <row r="360" spans="1:53" ht="11.25" customHeight="1">
      <c r="A360" s="69" t="s">
        <v>147</v>
      </c>
      <c r="B360" s="123" t="s">
        <v>45</v>
      </c>
      <c r="C360" s="80" t="s">
        <v>53</v>
      </c>
      <c r="D360" s="80" t="s">
        <v>53</v>
      </c>
      <c r="E360" s="80" t="s">
        <v>53</v>
      </c>
      <c r="F360" s="80" t="s">
        <v>53</v>
      </c>
      <c r="G360" s="37">
        <v>804</v>
      </c>
      <c r="H360" s="80" t="s">
        <v>53</v>
      </c>
      <c r="I360" s="80" t="s">
        <v>53</v>
      </c>
      <c r="J360" s="80" t="s">
        <v>53</v>
      </c>
      <c r="K360" s="80" t="s">
        <v>53</v>
      </c>
      <c r="L360" s="37">
        <v>816</v>
      </c>
      <c r="M360" s="80" t="s">
        <v>53</v>
      </c>
      <c r="N360" s="80" t="s">
        <v>53</v>
      </c>
      <c r="O360" s="80" t="s">
        <v>53</v>
      </c>
      <c r="P360" s="80" t="s">
        <v>53</v>
      </c>
      <c r="Q360" s="37">
        <v>879</v>
      </c>
      <c r="R360" s="80" t="s">
        <v>53</v>
      </c>
      <c r="S360" s="80" t="s">
        <v>53</v>
      </c>
      <c r="T360" s="80" t="s">
        <v>53</v>
      </c>
      <c r="U360" s="80" t="s">
        <v>53</v>
      </c>
      <c r="V360" s="37">
        <v>941</v>
      </c>
      <c r="W360" s="80" t="s">
        <v>53</v>
      </c>
      <c r="X360" s="80" t="s">
        <v>53</v>
      </c>
      <c r="Y360" s="80" t="s">
        <v>53</v>
      </c>
      <c r="Z360" s="80" t="s">
        <v>53</v>
      </c>
      <c r="AA360" s="37">
        <v>957</v>
      </c>
      <c r="AB360" s="80" t="s">
        <v>53</v>
      </c>
      <c r="AC360" s="80" t="s">
        <v>53</v>
      </c>
      <c r="AD360" s="80" t="s">
        <v>53</v>
      </c>
      <c r="AE360" s="80" t="s">
        <v>53</v>
      </c>
      <c r="AF360" s="37">
        <v>1032</v>
      </c>
      <c r="AG360" s="80" t="s">
        <v>53</v>
      </c>
      <c r="AH360" s="80" t="s">
        <v>53</v>
      </c>
      <c r="AI360" s="80" t="s">
        <v>53</v>
      </c>
      <c r="AJ360" s="80" t="s">
        <v>53</v>
      </c>
      <c r="AK360" s="37">
        <v>1109</v>
      </c>
      <c r="AL360" s="80" t="s">
        <v>53</v>
      </c>
      <c r="AM360" s="80" t="s">
        <v>53</v>
      </c>
      <c r="AN360" s="80" t="s">
        <v>53</v>
      </c>
      <c r="AO360" s="80" t="s">
        <v>53</v>
      </c>
      <c r="AP360" s="37">
        <v>1199</v>
      </c>
      <c r="AQ360" s="80" t="s">
        <v>53</v>
      </c>
      <c r="AR360" s="80" t="s">
        <v>53</v>
      </c>
      <c r="AS360" s="80" t="s">
        <v>53</v>
      </c>
      <c r="AT360" s="80" t="s">
        <v>53</v>
      </c>
      <c r="AU360" s="37">
        <v>1223</v>
      </c>
      <c r="AV360" s="80" t="s">
        <v>53</v>
      </c>
      <c r="AW360" s="80" t="s">
        <v>53</v>
      </c>
      <c r="AX360" s="80" t="s">
        <v>53</v>
      </c>
      <c r="AY360" s="80" t="s">
        <v>53</v>
      </c>
      <c r="AZ360" s="37">
        <v>1269</v>
      </c>
      <c r="BA360" s="80" t="s">
        <v>53</v>
      </c>
    </row>
    <row r="361" spans="1:53" ht="10.5" customHeight="1">
      <c r="A361" s="71" t="s">
        <v>144</v>
      </c>
      <c r="B361" s="24"/>
      <c r="C361" s="73"/>
      <c r="D361" s="73"/>
      <c r="E361" s="73"/>
      <c r="F361" s="73"/>
      <c r="G361" s="24">
        <f>G360/G354</f>
        <v>0.61572440665686923</v>
      </c>
      <c r="H361" s="73"/>
      <c r="I361" s="73"/>
      <c r="J361" s="73"/>
      <c r="K361" s="73"/>
      <c r="L361" s="24">
        <f>L360/L354</f>
        <v>0.61927587222274505</v>
      </c>
      <c r="M361" s="73"/>
      <c r="N361" s="73"/>
      <c r="O361" s="73"/>
      <c r="P361" s="73"/>
      <c r="Q361" s="24">
        <f>Q360/Q354</f>
        <v>0.63674012237869881</v>
      </c>
      <c r="R361" s="73"/>
      <c r="S361" s="73"/>
      <c r="T361" s="73"/>
      <c r="U361" s="73"/>
      <c r="V361" s="24">
        <f>V360/V354</f>
        <v>0.69518218796958042</v>
      </c>
      <c r="W361" s="73"/>
      <c r="X361" s="73"/>
      <c r="Y361" s="73"/>
      <c r="Z361" s="73"/>
      <c r="AA361" s="24">
        <f>AA360/AA354</f>
        <v>0.71411675249250628</v>
      </c>
      <c r="AB361" s="73"/>
      <c r="AC361" s="73"/>
      <c r="AD361" s="73"/>
      <c r="AE361" s="73"/>
      <c r="AF361" s="24">
        <f>AF360/AF354</f>
        <v>0.72028761251876627</v>
      </c>
      <c r="AG361" s="73"/>
      <c r="AH361" s="73"/>
      <c r="AI361" s="73"/>
      <c r="AJ361" s="73"/>
      <c r="AK361" s="24">
        <v>0.7373670212765957</v>
      </c>
      <c r="AL361" s="73"/>
      <c r="AM361" s="73"/>
      <c r="AN361" s="73"/>
      <c r="AO361" s="73"/>
      <c r="AP361" s="24">
        <v>0.75982256020278838</v>
      </c>
      <c r="AQ361" s="73"/>
      <c r="AR361" s="73"/>
      <c r="AS361" s="73"/>
      <c r="AT361" s="73"/>
      <c r="AU361" s="24">
        <v>0.7900516795865633</v>
      </c>
      <c r="AV361" s="73"/>
      <c r="AW361" s="73"/>
      <c r="AX361" s="73"/>
      <c r="AY361" s="73"/>
      <c r="AZ361" s="24">
        <v>0.82563435263500329</v>
      </c>
      <c r="BA361" s="73"/>
    </row>
    <row r="362" spans="1:53" ht="3.75" customHeight="1">
      <c r="A362" s="40"/>
      <c r="B362" s="41"/>
      <c r="C362" s="42"/>
      <c r="D362" s="42"/>
      <c r="E362" s="42"/>
      <c r="F362" s="42"/>
      <c r="G362" s="41"/>
      <c r="H362" s="42"/>
      <c r="I362" s="42"/>
      <c r="J362" s="42"/>
      <c r="K362" s="42"/>
      <c r="L362" s="41"/>
      <c r="M362" s="42"/>
      <c r="N362" s="42"/>
      <c r="O362" s="42"/>
      <c r="P362" s="42"/>
      <c r="Q362" s="41"/>
      <c r="R362" s="42"/>
      <c r="S362" s="42"/>
      <c r="T362" s="42"/>
      <c r="U362" s="42"/>
      <c r="V362" s="41"/>
      <c r="W362" s="42"/>
      <c r="X362" s="42"/>
      <c r="Y362" s="42"/>
      <c r="Z362" s="42"/>
      <c r="AA362" s="41"/>
      <c r="AB362" s="42"/>
      <c r="AC362" s="42"/>
      <c r="AD362" s="42"/>
      <c r="AE362" s="42"/>
      <c r="AF362" s="41"/>
      <c r="AG362" s="42"/>
      <c r="AH362" s="42"/>
      <c r="AI362" s="42"/>
      <c r="AJ362" s="42"/>
      <c r="AK362" s="41"/>
      <c r="AL362" s="42"/>
      <c r="AM362" s="42"/>
      <c r="AN362" s="42"/>
      <c r="AO362" s="42"/>
      <c r="AP362" s="41"/>
      <c r="AQ362" s="42"/>
      <c r="AR362" s="42"/>
      <c r="AS362" s="42"/>
      <c r="AT362" s="42"/>
      <c r="AU362" s="41"/>
      <c r="AV362" s="42"/>
      <c r="AW362" s="42"/>
      <c r="AX362" s="42"/>
      <c r="AY362" s="42"/>
      <c r="AZ362" s="41"/>
      <c r="BA362" s="42"/>
    </row>
    <row r="363" spans="1:53">
      <c r="A363" s="69" t="s">
        <v>145</v>
      </c>
      <c r="B363" s="123" t="s">
        <v>45</v>
      </c>
      <c r="C363" s="80" t="s">
        <v>53</v>
      </c>
      <c r="D363" s="80" t="s">
        <v>53</v>
      </c>
      <c r="E363" s="80" t="s">
        <v>53</v>
      </c>
      <c r="F363" s="80" t="s">
        <v>53</v>
      </c>
      <c r="G363" s="37">
        <v>513</v>
      </c>
      <c r="H363" s="80" t="s">
        <v>53</v>
      </c>
      <c r="I363" s="80" t="s">
        <v>53</v>
      </c>
      <c r="J363" s="80" t="s">
        <v>53</v>
      </c>
      <c r="K363" s="80" t="s">
        <v>53</v>
      </c>
      <c r="L363" s="37">
        <v>520</v>
      </c>
      <c r="M363" s="80" t="s">
        <v>53</v>
      </c>
      <c r="N363" s="80" t="s">
        <v>53</v>
      </c>
      <c r="O363" s="80" t="s">
        <v>53</v>
      </c>
      <c r="P363" s="80" t="s">
        <v>53</v>
      </c>
      <c r="Q363" s="37">
        <v>523</v>
      </c>
      <c r="R363" s="80" t="s">
        <v>53</v>
      </c>
      <c r="S363" s="80" t="s">
        <v>53</v>
      </c>
      <c r="T363" s="80" t="s">
        <v>53</v>
      </c>
      <c r="U363" s="80" t="s">
        <v>53</v>
      </c>
      <c r="V363" s="37">
        <v>528</v>
      </c>
      <c r="W363" s="80" t="s">
        <v>53</v>
      </c>
      <c r="X363" s="80" t="s">
        <v>53</v>
      </c>
      <c r="Y363" s="80" t="s">
        <v>53</v>
      </c>
      <c r="Z363" s="80" t="s">
        <v>53</v>
      </c>
      <c r="AA363" s="37">
        <v>538</v>
      </c>
      <c r="AB363" s="80" t="s">
        <v>53</v>
      </c>
      <c r="AC363" s="80" t="s">
        <v>53</v>
      </c>
      <c r="AD363" s="80" t="s">
        <v>53</v>
      </c>
      <c r="AE363" s="80" t="s">
        <v>53</v>
      </c>
      <c r="AF363" s="37">
        <v>535</v>
      </c>
      <c r="AG363" s="80" t="s">
        <v>53</v>
      </c>
      <c r="AH363" s="80" t="s">
        <v>53</v>
      </c>
      <c r="AI363" s="80" t="s">
        <v>53</v>
      </c>
      <c r="AJ363" s="80" t="s">
        <v>53</v>
      </c>
      <c r="AK363" s="37">
        <v>529</v>
      </c>
      <c r="AL363" s="80" t="s">
        <v>53</v>
      </c>
      <c r="AM363" s="80" t="s">
        <v>53</v>
      </c>
      <c r="AN363" s="80" t="s">
        <v>53</v>
      </c>
      <c r="AO363" s="80" t="s">
        <v>53</v>
      </c>
      <c r="AP363" s="37">
        <v>555</v>
      </c>
      <c r="AQ363" s="80" t="s">
        <v>53</v>
      </c>
      <c r="AR363" s="80" t="s">
        <v>53</v>
      </c>
      <c r="AS363" s="80" t="s">
        <v>53</v>
      </c>
      <c r="AT363" s="80" t="s">
        <v>53</v>
      </c>
      <c r="AU363" s="37">
        <v>570</v>
      </c>
      <c r="AV363" s="80" t="s">
        <v>53</v>
      </c>
      <c r="AW363" s="80" t="s">
        <v>53</v>
      </c>
      <c r="AX363" s="80" t="s">
        <v>53</v>
      </c>
      <c r="AY363" s="80" t="s">
        <v>53</v>
      </c>
      <c r="AZ363" s="37">
        <v>563</v>
      </c>
      <c r="BA363" s="80" t="s">
        <v>53</v>
      </c>
    </row>
    <row r="364" spans="1:53" ht="9.75" customHeight="1">
      <c r="A364" s="71" t="s">
        <v>144</v>
      </c>
      <c r="B364" s="24"/>
      <c r="C364" s="73"/>
      <c r="D364" s="73"/>
      <c r="E364" s="73"/>
      <c r="F364" s="73"/>
      <c r="G364" s="24">
        <f>G363/G354</f>
        <v>0.39286893111315163</v>
      </c>
      <c r="H364" s="73"/>
      <c r="I364" s="73"/>
      <c r="J364" s="73"/>
      <c r="K364" s="73"/>
      <c r="L364" s="24">
        <f>L363/L354</f>
        <v>0.39463658523998463</v>
      </c>
      <c r="M364" s="73"/>
      <c r="N364" s="73"/>
      <c r="O364" s="73"/>
      <c r="P364" s="73"/>
      <c r="Q364" s="24">
        <f>Q363/Q354</f>
        <v>0.37885675085786064</v>
      </c>
      <c r="R364" s="73"/>
      <c r="S364" s="73"/>
      <c r="T364" s="73"/>
      <c r="U364" s="73"/>
      <c r="V364" s="24">
        <f>V363/V354</f>
        <v>0.39007034564074222</v>
      </c>
      <c r="W364" s="73"/>
      <c r="X364" s="73"/>
      <c r="Y364" s="73"/>
      <c r="Z364" s="73"/>
      <c r="AA364" s="24">
        <f>AA363/AA354</f>
        <v>0.40145748468230757</v>
      </c>
      <c r="AB364" s="73"/>
      <c r="AC364" s="73"/>
      <c r="AD364" s="73"/>
      <c r="AE364" s="73"/>
      <c r="AF364" s="24">
        <f>AF363/AF354</f>
        <v>0.37340491540459297</v>
      </c>
      <c r="AG364" s="73"/>
      <c r="AH364" s="73"/>
      <c r="AI364" s="73"/>
      <c r="AJ364" s="73"/>
      <c r="AK364" s="24">
        <v>0.35172872340425532</v>
      </c>
      <c r="AL364" s="73"/>
      <c r="AM364" s="73"/>
      <c r="AN364" s="73"/>
      <c r="AO364" s="73"/>
      <c r="AP364" s="24">
        <v>0.35171102661596959</v>
      </c>
      <c r="AQ364" s="73"/>
      <c r="AR364" s="73"/>
      <c r="AS364" s="73"/>
      <c r="AT364" s="73"/>
      <c r="AU364" s="24">
        <v>0.36821705426356588</v>
      </c>
      <c r="AV364" s="73"/>
      <c r="AW364" s="73"/>
      <c r="AX364" s="73"/>
      <c r="AY364" s="73"/>
      <c r="AZ364" s="24">
        <v>0.36629798308392975</v>
      </c>
      <c r="BA364" s="73"/>
    </row>
    <row r="365" spans="1:53" ht="12" customHeight="1">
      <c r="A365" s="69" t="s">
        <v>143</v>
      </c>
      <c r="B365" s="123" t="s">
        <v>45</v>
      </c>
      <c r="C365" s="80" t="s">
        <v>53</v>
      </c>
      <c r="D365" s="80" t="s">
        <v>53</v>
      </c>
      <c r="E365" s="80" t="s">
        <v>53</v>
      </c>
      <c r="F365" s="80" t="s">
        <v>53</v>
      </c>
      <c r="G365" s="37">
        <v>793</v>
      </c>
      <c r="H365" s="80" t="s">
        <v>53</v>
      </c>
      <c r="I365" s="80" t="s">
        <v>53</v>
      </c>
      <c r="J365" s="80" t="s">
        <v>53</v>
      </c>
      <c r="K365" s="80" t="s">
        <v>53</v>
      </c>
      <c r="L365" s="37">
        <v>798</v>
      </c>
      <c r="M365" s="80" t="s">
        <v>53</v>
      </c>
      <c r="N365" s="80" t="s">
        <v>53</v>
      </c>
      <c r="O365" s="80" t="s">
        <v>53</v>
      </c>
      <c r="P365" s="80" t="s">
        <v>53</v>
      </c>
      <c r="Q365" s="37">
        <v>857</v>
      </c>
      <c r="R365" s="80" t="s">
        <v>53</v>
      </c>
      <c r="S365" s="80" t="s">
        <v>53</v>
      </c>
      <c r="T365" s="80" t="s">
        <v>53</v>
      </c>
      <c r="U365" s="80" t="s">
        <v>53</v>
      </c>
      <c r="V365" s="37">
        <v>826</v>
      </c>
      <c r="W365" s="80" t="s">
        <v>53</v>
      </c>
      <c r="X365" s="80" t="s">
        <v>53</v>
      </c>
      <c r="Y365" s="80" t="s">
        <v>53</v>
      </c>
      <c r="Z365" s="80" t="s">
        <v>53</v>
      </c>
      <c r="AA365" s="37">
        <v>802</v>
      </c>
      <c r="AB365" s="80" t="s">
        <v>53</v>
      </c>
      <c r="AC365" s="80" t="s">
        <v>53</v>
      </c>
      <c r="AD365" s="80" t="s">
        <v>53</v>
      </c>
      <c r="AE365" s="80" t="s">
        <v>53</v>
      </c>
      <c r="AF365" s="37">
        <v>898</v>
      </c>
      <c r="AG365" s="80" t="s">
        <v>53</v>
      </c>
      <c r="AH365" s="80" t="s">
        <v>53</v>
      </c>
      <c r="AI365" s="80" t="s">
        <v>53</v>
      </c>
      <c r="AJ365" s="80" t="s">
        <v>53</v>
      </c>
      <c r="AK365" s="37">
        <v>975</v>
      </c>
      <c r="AL365" s="80" t="s">
        <v>53</v>
      </c>
      <c r="AM365" s="80" t="s">
        <v>53</v>
      </c>
      <c r="AN365" s="80" t="s">
        <v>53</v>
      </c>
      <c r="AO365" s="80" t="s">
        <v>53</v>
      </c>
      <c r="AP365" s="37">
        <v>1023</v>
      </c>
      <c r="AQ365" s="80" t="s">
        <v>53</v>
      </c>
      <c r="AR365" s="80" t="s">
        <v>53</v>
      </c>
      <c r="AS365" s="80" t="s">
        <v>53</v>
      </c>
      <c r="AT365" s="80" t="s">
        <v>53</v>
      </c>
      <c r="AU365" s="37">
        <v>978</v>
      </c>
      <c r="AV365" s="80" t="s">
        <v>53</v>
      </c>
      <c r="AW365" s="80" t="s">
        <v>53</v>
      </c>
      <c r="AX365" s="80" t="s">
        <v>53</v>
      </c>
      <c r="AY365" s="80" t="s">
        <v>53</v>
      </c>
      <c r="AZ365" s="37">
        <v>974</v>
      </c>
      <c r="BA365" s="80" t="s">
        <v>53</v>
      </c>
    </row>
    <row r="366" spans="1:53" ht="9.75" customHeight="1">
      <c r="A366" s="71" t="s">
        <v>144</v>
      </c>
      <c r="B366" s="24"/>
      <c r="C366" s="73"/>
      <c r="D366" s="73"/>
      <c r="E366" s="73"/>
      <c r="F366" s="73"/>
      <c r="G366" s="24">
        <f>G365/G354</f>
        <v>0.60730031651604144</v>
      </c>
      <c r="H366" s="73"/>
      <c r="I366" s="73"/>
      <c r="J366" s="73"/>
      <c r="K366" s="73"/>
      <c r="L366" s="24">
        <f>L365/L354</f>
        <v>0.60561537504136098</v>
      </c>
      <c r="M366" s="73"/>
      <c r="N366" s="73"/>
      <c r="O366" s="73"/>
      <c r="P366" s="73"/>
      <c r="Q366" s="24">
        <f>Q365/Q354</f>
        <v>0.62080350953190544</v>
      </c>
      <c r="R366" s="73"/>
      <c r="S366" s="73"/>
      <c r="T366" s="73"/>
      <c r="U366" s="73"/>
      <c r="V366" s="24">
        <f>V365/V354</f>
        <v>0.61022368465767629</v>
      </c>
      <c r="W366" s="73"/>
      <c r="X366" s="73"/>
      <c r="Y366" s="73"/>
      <c r="Z366" s="73"/>
      <c r="AA366" s="24">
        <f>AA365/AA354</f>
        <v>0.5984552095078266</v>
      </c>
      <c r="AB366" s="73"/>
      <c r="AC366" s="73"/>
      <c r="AD366" s="73"/>
      <c r="AE366" s="73"/>
      <c r="AF366" s="24">
        <f>AF365/AF354</f>
        <v>0.62676189538939153</v>
      </c>
      <c r="AG366" s="73"/>
      <c r="AH366" s="73"/>
      <c r="AI366" s="73"/>
      <c r="AJ366" s="73"/>
      <c r="AK366" s="24">
        <v>0.64827127659574468</v>
      </c>
      <c r="AL366" s="73"/>
      <c r="AM366" s="73"/>
      <c r="AN366" s="73"/>
      <c r="AO366" s="73"/>
      <c r="AP366" s="24">
        <v>0.64828897338403046</v>
      </c>
      <c r="AQ366" s="73"/>
      <c r="AR366" s="73"/>
      <c r="AS366" s="73"/>
      <c r="AT366" s="73"/>
      <c r="AU366" s="24">
        <v>0.63178294573643412</v>
      </c>
      <c r="AV366" s="73"/>
      <c r="AW366" s="73"/>
      <c r="AX366" s="73"/>
      <c r="AY366" s="73"/>
      <c r="AZ366" s="24">
        <v>0.63370201691607031</v>
      </c>
      <c r="BA366" s="73"/>
    </row>
    <row r="367" spans="1:53" ht="14.25" customHeight="1">
      <c r="A367" s="40" t="s">
        <v>29</v>
      </c>
      <c r="B367" s="41"/>
      <c r="C367" s="42"/>
      <c r="D367" s="42"/>
      <c r="E367" s="42"/>
      <c r="F367" s="42"/>
      <c r="G367" s="41"/>
      <c r="H367" s="42"/>
      <c r="I367" s="42"/>
      <c r="J367" s="42"/>
      <c r="K367" s="42"/>
      <c r="L367" s="41"/>
      <c r="M367" s="42"/>
      <c r="N367" s="42"/>
      <c r="O367" s="42"/>
      <c r="P367" s="42"/>
      <c r="Q367" s="41"/>
      <c r="R367" s="42"/>
      <c r="S367" s="42"/>
      <c r="T367" s="42"/>
      <c r="U367" s="42"/>
      <c r="V367" s="41"/>
      <c r="W367" s="42"/>
      <c r="X367" s="42"/>
      <c r="Y367" s="42"/>
      <c r="Z367" s="42"/>
      <c r="AA367" s="41"/>
      <c r="AB367" s="42"/>
      <c r="AC367" s="42"/>
      <c r="AD367" s="42"/>
      <c r="AE367" s="42"/>
      <c r="AF367" s="41"/>
      <c r="AG367" s="42"/>
      <c r="AH367" s="42"/>
      <c r="AI367" s="42"/>
      <c r="AJ367" s="42"/>
      <c r="AK367" s="41"/>
      <c r="AL367" s="42"/>
      <c r="AM367" s="42"/>
      <c r="AN367" s="42"/>
      <c r="AO367" s="42"/>
      <c r="AP367" s="41"/>
      <c r="AQ367" s="42"/>
      <c r="AR367" s="42"/>
      <c r="AS367" s="42"/>
      <c r="AT367" s="42"/>
      <c r="AU367" s="41"/>
      <c r="AV367" s="42"/>
      <c r="AW367" s="42"/>
      <c r="AX367" s="42"/>
      <c r="AY367" s="42"/>
      <c r="AZ367" s="41"/>
      <c r="BA367" s="42"/>
    </row>
    <row r="368" spans="1:53">
      <c r="A368" s="69" t="s">
        <v>87</v>
      </c>
      <c r="B368" s="37">
        <v>859</v>
      </c>
      <c r="C368" s="80" t="s">
        <v>53</v>
      </c>
      <c r="D368" s="80" t="s">
        <v>53</v>
      </c>
      <c r="E368" s="80" t="s">
        <v>53</v>
      </c>
      <c r="F368" s="80" t="s">
        <v>53</v>
      </c>
      <c r="G368" s="37">
        <v>780</v>
      </c>
      <c r="H368" s="70">
        <v>199</v>
      </c>
      <c r="I368" s="70">
        <v>190</v>
      </c>
      <c r="J368" s="70">
        <v>195</v>
      </c>
      <c r="K368" s="70">
        <f>L368-J368-I368-H368</f>
        <v>193</v>
      </c>
      <c r="L368" s="37">
        <v>777</v>
      </c>
      <c r="M368" s="70">
        <v>210</v>
      </c>
      <c r="N368" s="70">
        <v>201</v>
      </c>
      <c r="O368" s="70">
        <v>208</v>
      </c>
      <c r="P368" s="70">
        <f>Q368-O368-N368-M368</f>
        <v>203</v>
      </c>
      <c r="Q368" s="37">
        <v>822</v>
      </c>
      <c r="R368" s="70">
        <v>193</v>
      </c>
      <c r="S368" s="70">
        <v>194</v>
      </c>
      <c r="T368" s="70">
        <v>209</v>
      </c>
      <c r="U368" s="70">
        <f>V368-T368-S368-R368</f>
        <v>191.93899999999996</v>
      </c>
      <c r="V368" s="37">
        <v>787.93899999999996</v>
      </c>
      <c r="W368" s="70">
        <v>201.40600000000001</v>
      </c>
      <c r="X368" s="70">
        <v>194.303</v>
      </c>
      <c r="Y368" s="70">
        <v>199.44499999999999</v>
      </c>
      <c r="Z368" s="70">
        <f>AA368-Y368-X368-W368</f>
        <v>200.54800000000006</v>
      </c>
      <c r="AA368" s="37">
        <v>795.702</v>
      </c>
      <c r="AB368" s="70">
        <v>207.92500000000001</v>
      </c>
      <c r="AC368" s="70">
        <v>218.495</v>
      </c>
      <c r="AD368" s="70">
        <v>222.10499999999999</v>
      </c>
      <c r="AE368" s="70">
        <f>AF368-AD368-AC368-AB368</f>
        <v>230.26899999999995</v>
      </c>
      <c r="AF368" s="37">
        <f>878.794</f>
        <v>878.79399999999998</v>
      </c>
      <c r="AG368" s="70">
        <v>218</v>
      </c>
      <c r="AH368" s="70">
        <v>228</v>
      </c>
      <c r="AI368" s="70">
        <v>246</v>
      </c>
      <c r="AJ368" s="70">
        <f>AK368-AI368-AH368-AG368</f>
        <v>259</v>
      </c>
      <c r="AK368" s="37">
        <v>951</v>
      </c>
      <c r="AL368" s="70">
        <v>251</v>
      </c>
      <c r="AM368" s="70">
        <v>250</v>
      </c>
      <c r="AN368" s="70">
        <v>251</v>
      </c>
      <c r="AO368" s="70">
        <v>263</v>
      </c>
      <c r="AP368" s="37">
        <v>1015</v>
      </c>
      <c r="AQ368" s="70">
        <v>258</v>
      </c>
      <c r="AR368" s="70">
        <v>246</v>
      </c>
      <c r="AS368" s="70">
        <v>256</v>
      </c>
      <c r="AT368" s="70">
        <v>255</v>
      </c>
      <c r="AU368" s="37">
        <v>1015</v>
      </c>
      <c r="AV368" s="70">
        <v>258</v>
      </c>
      <c r="AW368" s="70">
        <v>288</v>
      </c>
      <c r="AX368" s="70">
        <v>253</v>
      </c>
      <c r="AY368" s="70">
        <v>259</v>
      </c>
      <c r="AZ368" s="37">
        <v>1058</v>
      </c>
      <c r="BA368" s="70">
        <v>238</v>
      </c>
    </row>
    <row r="369" spans="1:53">
      <c r="A369" s="71" t="s">
        <v>7</v>
      </c>
      <c r="B369" s="24"/>
      <c r="C369" s="72"/>
      <c r="D369" s="72"/>
      <c r="E369" s="72"/>
      <c r="F369" s="72"/>
      <c r="G369" s="24"/>
      <c r="H369" s="72"/>
      <c r="I369" s="72">
        <f>I368/H368-1</f>
        <v>-4.5226130653266305E-2</v>
      </c>
      <c r="J369" s="72">
        <f>J368/I368-1</f>
        <v>2.6315789473684292E-2</v>
      </c>
      <c r="K369" s="72">
        <f>K368/J368-1</f>
        <v>-1.025641025641022E-2</v>
      </c>
      <c r="L369" s="24"/>
      <c r="M369" s="72">
        <f>M368/K368-1</f>
        <v>8.8082901554404236E-2</v>
      </c>
      <c r="N369" s="72">
        <f>N368/M368-1</f>
        <v>-4.2857142857142816E-2</v>
      </c>
      <c r="O369" s="72">
        <f>O368/N368-1</f>
        <v>3.4825870646766122E-2</v>
      </c>
      <c r="P369" s="72">
        <f>P368/O368-1</f>
        <v>-2.4038461538461564E-2</v>
      </c>
      <c r="Q369" s="24"/>
      <c r="R369" s="72">
        <f>R368/P368-1</f>
        <v>-4.9261083743842415E-2</v>
      </c>
      <c r="S369" s="72">
        <f>S368/R368-1</f>
        <v>5.1813471502590858E-3</v>
      </c>
      <c r="T369" s="72">
        <f>T368/S368-1</f>
        <v>7.7319587628865927E-2</v>
      </c>
      <c r="U369" s="72">
        <f>U368/T368-1</f>
        <v>-8.163157894736861E-2</v>
      </c>
      <c r="V369" s="24"/>
      <c r="W369" s="72">
        <f>W368/U368-1</f>
        <v>4.9322961982713576E-2</v>
      </c>
      <c r="X369" s="72">
        <f>X368/W368-1</f>
        <v>-3.5267072480462347E-2</v>
      </c>
      <c r="Y369" s="72">
        <f>Y368/X368-1</f>
        <v>2.6463821968780721E-2</v>
      </c>
      <c r="Z369" s="72">
        <f>Z368/Y368-1</f>
        <v>5.5303467121263772E-3</v>
      </c>
      <c r="AA369" s="24"/>
      <c r="AB369" s="72">
        <f>AB368/Z368-1</f>
        <v>3.6784211261144284E-2</v>
      </c>
      <c r="AC369" s="72">
        <f>AC368/AB368-1</f>
        <v>5.083563785018641E-2</v>
      </c>
      <c r="AD369" s="72">
        <f>AD368/AC368-1</f>
        <v>1.6522117210920007E-2</v>
      </c>
      <c r="AE369" s="72">
        <f>AE368/AD368-1</f>
        <v>3.6757389522973138E-2</v>
      </c>
      <c r="AF369" s="24"/>
      <c r="AG369" s="72">
        <f>AG368/AE368-1</f>
        <v>-5.3281162466506382E-2</v>
      </c>
      <c r="AH369" s="72">
        <f>AH368/AG368-1</f>
        <v>4.587155963302747E-2</v>
      </c>
      <c r="AI369" s="72">
        <f>AI368/AH368-1</f>
        <v>7.8947368421052655E-2</v>
      </c>
      <c r="AJ369" s="72">
        <f>AJ368/AI368-1</f>
        <v>5.2845528455284452E-2</v>
      </c>
      <c r="AK369" s="24"/>
      <c r="AL369" s="72">
        <v>-3.0888030888030937E-2</v>
      </c>
      <c r="AM369" s="72">
        <v>-3.9840637450199168E-3</v>
      </c>
      <c r="AN369" s="72">
        <v>4.0000000000000036E-3</v>
      </c>
      <c r="AO369" s="72">
        <v>4.7808764940239001E-2</v>
      </c>
      <c r="AP369" s="24"/>
      <c r="AQ369" s="72">
        <v>-1.9011406844106515E-2</v>
      </c>
      <c r="AR369" s="72">
        <v>-4.6511627906976716E-2</v>
      </c>
      <c r="AS369" s="72">
        <v>4.0650406504065151E-2</v>
      </c>
      <c r="AT369" s="72">
        <v>-3.90625E-3</v>
      </c>
      <c r="AU369" s="24"/>
      <c r="AV369" s="72">
        <v>1.1764705882352899E-2</v>
      </c>
      <c r="AW369" s="72">
        <v>0.11627906976744184</v>
      </c>
      <c r="AX369" s="72">
        <v>-0.12152777777777779</v>
      </c>
      <c r="AY369" s="72">
        <v>2.3715415019762931E-2</v>
      </c>
      <c r="AZ369" s="24"/>
      <c r="BA369" s="72">
        <v>-8.108108108108103E-2</v>
      </c>
    </row>
    <row r="370" spans="1:53">
      <c r="A370" s="71" t="s">
        <v>8</v>
      </c>
      <c r="B370" s="24"/>
      <c r="C370" s="73"/>
      <c r="D370" s="73"/>
      <c r="E370" s="73"/>
      <c r="F370" s="73"/>
      <c r="G370" s="24">
        <f>G368/B368-1</f>
        <v>-9.1967403958090777E-2</v>
      </c>
      <c r="H370" s="73"/>
      <c r="I370" s="73"/>
      <c r="J370" s="73"/>
      <c r="K370" s="73"/>
      <c r="L370" s="24">
        <f t="shared" ref="L370:AD370" si="348">L368/G368-1</f>
        <v>-3.8461538461538325E-3</v>
      </c>
      <c r="M370" s="73">
        <f t="shared" si="348"/>
        <v>5.5276381909547645E-2</v>
      </c>
      <c r="N370" s="73">
        <f t="shared" si="348"/>
        <v>5.7894736842105221E-2</v>
      </c>
      <c r="O370" s="73">
        <f t="shared" si="348"/>
        <v>6.6666666666666652E-2</v>
      </c>
      <c r="P370" s="73">
        <f t="shared" si="348"/>
        <v>5.1813471502590636E-2</v>
      </c>
      <c r="Q370" s="24">
        <f t="shared" si="348"/>
        <v>5.7915057915058021E-2</v>
      </c>
      <c r="R370" s="73">
        <f t="shared" si="348"/>
        <v>-8.0952380952380998E-2</v>
      </c>
      <c r="S370" s="73">
        <f t="shared" si="348"/>
        <v>-3.4825870646766122E-2</v>
      </c>
      <c r="T370" s="73">
        <f t="shared" si="348"/>
        <v>4.8076923076922906E-3</v>
      </c>
      <c r="U370" s="73">
        <f t="shared" si="348"/>
        <v>-5.4487684729064179E-2</v>
      </c>
      <c r="V370" s="24">
        <f t="shared" si="348"/>
        <v>-4.143673965936745E-2</v>
      </c>
      <c r="W370" s="73">
        <f t="shared" si="348"/>
        <v>4.3554404145077719E-2</v>
      </c>
      <c r="X370" s="73">
        <f t="shared" si="348"/>
        <v>1.5618556701031405E-3</v>
      </c>
      <c r="Y370" s="73">
        <f t="shared" si="348"/>
        <v>-4.5717703349282379E-2</v>
      </c>
      <c r="Z370" s="73">
        <f t="shared" si="348"/>
        <v>4.4852791772386436E-2</v>
      </c>
      <c r="AA370" s="24">
        <f t="shared" si="348"/>
        <v>9.8522855195644077E-3</v>
      </c>
      <c r="AB370" s="73">
        <f t="shared" si="348"/>
        <v>3.2367456778844783E-2</v>
      </c>
      <c r="AC370" s="73">
        <f t="shared" si="348"/>
        <v>0.12450656963608386</v>
      </c>
      <c r="AD370" s="73">
        <f t="shared" si="348"/>
        <v>0.11361528240868402</v>
      </c>
      <c r="AE370" s="73">
        <f t="shared" ref="AE370:AN370" si="349">AE368/Z368-1</f>
        <v>0.14819893491832326</v>
      </c>
      <c r="AF370" s="24">
        <f t="shared" si="349"/>
        <v>0.10442602883994256</v>
      </c>
      <c r="AG370" s="73">
        <f t="shared" si="349"/>
        <v>4.8454971744619435E-2</v>
      </c>
      <c r="AH370" s="73">
        <f t="shared" si="349"/>
        <v>4.3502139637062509E-2</v>
      </c>
      <c r="AI370" s="73">
        <f t="shared" si="349"/>
        <v>0.1075842506922402</v>
      </c>
      <c r="AJ370" s="73">
        <f t="shared" si="349"/>
        <v>0.12477146294116914</v>
      </c>
      <c r="AK370" s="24">
        <v>8.2164875955001992E-2</v>
      </c>
      <c r="AL370" s="73">
        <v>0.15137614678899092</v>
      </c>
      <c r="AM370" s="73">
        <v>9.6491228070175517E-2</v>
      </c>
      <c r="AN370" s="73">
        <v>2.0325203252032464E-2</v>
      </c>
      <c r="AO370" s="73">
        <v>1.5444015444015413E-2</v>
      </c>
      <c r="AP370" s="24">
        <v>6.7297581493165115E-2</v>
      </c>
      <c r="AQ370" s="73">
        <v>2.7888446215139417E-2</v>
      </c>
      <c r="AR370" s="73">
        <v>-1.6000000000000014E-2</v>
      </c>
      <c r="AS370" s="73">
        <v>1.9920318725099584E-2</v>
      </c>
      <c r="AT370" s="73">
        <v>-3.041825095057038E-2</v>
      </c>
      <c r="AU370" s="24">
        <v>0</v>
      </c>
      <c r="AV370" s="73">
        <v>0</v>
      </c>
      <c r="AW370" s="73">
        <v>0.1707317073170731</v>
      </c>
      <c r="AX370" s="73">
        <v>-1.171875E-2</v>
      </c>
      <c r="AY370" s="73">
        <v>1.5686274509803866E-2</v>
      </c>
      <c r="AZ370" s="24">
        <v>4.236453201970436E-2</v>
      </c>
      <c r="BA370" s="73">
        <v>-7.7519379844961267E-2</v>
      </c>
    </row>
    <row r="371" spans="1:53">
      <c r="A371" s="69" t="s">
        <v>108</v>
      </c>
      <c r="B371" s="37">
        <v>445</v>
      </c>
      <c r="C371" s="80" t="s">
        <v>53</v>
      </c>
      <c r="D371" s="80" t="s">
        <v>53</v>
      </c>
      <c r="E371" s="80" t="s">
        <v>53</v>
      </c>
      <c r="F371" s="80" t="s">
        <v>53</v>
      </c>
      <c r="G371" s="37">
        <v>526</v>
      </c>
      <c r="H371" s="70">
        <v>125</v>
      </c>
      <c r="I371" s="70">
        <v>137</v>
      </c>
      <c r="J371" s="70">
        <v>137</v>
      </c>
      <c r="K371" s="70">
        <f>L371-J371-I371-H371</f>
        <v>142</v>
      </c>
      <c r="L371" s="37">
        <v>541</v>
      </c>
      <c r="M371" s="70">
        <v>133</v>
      </c>
      <c r="N371" s="70">
        <v>141</v>
      </c>
      <c r="O371" s="70">
        <v>139</v>
      </c>
      <c r="P371" s="70">
        <f>Q371-O371-N371-M371</f>
        <v>145</v>
      </c>
      <c r="Q371" s="37">
        <v>558</v>
      </c>
      <c r="R371" s="70">
        <v>136</v>
      </c>
      <c r="S371" s="70">
        <v>139</v>
      </c>
      <c r="T371" s="70">
        <v>142</v>
      </c>
      <c r="U371" s="70">
        <f>V371-T371-S371-R371</f>
        <v>149</v>
      </c>
      <c r="V371" s="37">
        <v>566</v>
      </c>
      <c r="W371" s="70">
        <v>130.816</v>
      </c>
      <c r="X371" s="70">
        <v>135</v>
      </c>
      <c r="Y371" s="70">
        <v>139.10900000000001</v>
      </c>
      <c r="Z371" s="70">
        <f>AA371-Y371-X371-W371</f>
        <v>139.48999999999992</v>
      </c>
      <c r="AA371" s="37">
        <v>544.41499999999996</v>
      </c>
      <c r="AB371" s="70">
        <v>137.65100000000001</v>
      </c>
      <c r="AC371" s="70">
        <v>140.249</v>
      </c>
      <c r="AD371" s="70">
        <v>137.51900000000001</v>
      </c>
      <c r="AE371" s="70">
        <f>AF371-AD371-AC371-AB371</f>
        <v>138.54799999999994</v>
      </c>
      <c r="AF371" s="37">
        <v>553.96699999999998</v>
      </c>
      <c r="AG371" s="70">
        <v>137</v>
      </c>
      <c r="AH371" s="70">
        <v>137</v>
      </c>
      <c r="AI371" s="70">
        <v>139</v>
      </c>
      <c r="AJ371" s="70">
        <f>AK371-AI371-AH371-AG371</f>
        <v>140</v>
      </c>
      <c r="AK371" s="37">
        <v>553</v>
      </c>
      <c r="AL371" s="70">
        <v>142</v>
      </c>
      <c r="AM371" s="70">
        <v>141</v>
      </c>
      <c r="AN371" s="70">
        <v>138</v>
      </c>
      <c r="AO371" s="70">
        <v>142</v>
      </c>
      <c r="AP371" s="37">
        <v>563</v>
      </c>
      <c r="AQ371" s="70">
        <v>137</v>
      </c>
      <c r="AR371" s="70">
        <v>131</v>
      </c>
      <c r="AS371" s="70">
        <v>128</v>
      </c>
      <c r="AT371" s="70">
        <v>137</v>
      </c>
      <c r="AU371" s="37">
        <v>533</v>
      </c>
      <c r="AV371" s="70">
        <v>126</v>
      </c>
      <c r="AW371" s="70">
        <v>119</v>
      </c>
      <c r="AX371" s="70">
        <v>114</v>
      </c>
      <c r="AY371" s="70">
        <v>120</v>
      </c>
      <c r="AZ371" s="37">
        <v>479</v>
      </c>
      <c r="BA371" s="70">
        <v>114</v>
      </c>
    </row>
    <row r="372" spans="1:53" ht="12" customHeight="1">
      <c r="A372" s="71" t="s">
        <v>7</v>
      </c>
      <c r="B372" s="24"/>
      <c r="C372" s="72"/>
      <c r="D372" s="72"/>
      <c r="E372" s="72"/>
      <c r="F372" s="72"/>
      <c r="G372" s="24"/>
      <c r="H372" s="72"/>
      <c r="I372" s="72">
        <f>I371/H371-1</f>
        <v>9.6000000000000085E-2</v>
      </c>
      <c r="J372" s="72">
        <f>J371/I371-1</f>
        <v>0</v>
      </c>
      <c r="K372" s="72">
        <f>K371/J371-1</f>
        <v>3.649635036496357E-2</v>
      </c>
      <c r="L372" s="24"/>
      <c r="M372" s="72">
        <f>M371/K371-1</f>
        <v>-6.3380281690140872E-2</v>
      </c>
      <c r="N372" s="72">
        <f>N371/M371-1</f>
        <v>6.0150375939849621E-2</v>
      </c>
      <c r="O372" s="72">
        <f>O371/N371-1</f>
        <v>-1.4184397163120588E-2</v>
      </c>
      <c r="P372" s="72">
        <f>P371/O371-1</f>
        <v>4.3165467625899234E-2</v>
      </c>
      <c r="Q372" s="24"/>
      <c r="R372" s="72">
        <f>R371/P371-1</f>
        <v>-6.2068965517241392E-2</v>
      </c>
      <c r="S372" s="72">
        <f>S371/R371-1</f>
        <v>2.2058823529411686E-2</v>
      </c>
      <c r="T372" s="72">
        <f>T371/S371-1</f>
        <v>2.1582733812949728E-2</v>
      </c>
      <c r="U372" s="72">
        <f>U371/T371-1</f>
        <v>4.9295774647887258E-2</v>
      </c>
      <c r="V372" s="24"/>
      <c r="W372" s="72">
        <f>W371/U371-1</f>
        <v>-0.12204026845637583</v>
      </c>
      <c r="X372" s="72">
        <f>X371/W371-1</f>
        <v>3.198385518590996E-2</v>
      </c>
      <c r="Y372" s="72">
        <f>Y371/X371-1</f>
        <v>3.043703703703704E-2</v>
      </c>
      <c r="Z372" s="72">
        <f>Z371/Y371-1</f>
        <v>2.7388594555342038E-3</v>
      </c>
      <c r="AA372" s="24"/>
      <c r="AB372" s="72">
        <f>AB371/Z371-1</f>
        <v>-1.3183740769947105E-2</v>
      </c>
      <c r="AC372" s="72">
        <f>AC371/AB371-1</f>
        <v>1.8873818570152023E-2</v>
      </c>
      <c r="AD372" s="72">
        <f>AD371/AC371-1</f>
        <v>-1.9465379432295316E-2</v>
      </c>
      <c r="AE372" s="72">
        <f>AE371/AD371-1</f>
        <v>7.4826024040310912E-3</v>
      </c>
      <c r="AF372" s="24"/>
      <c r="AG372" s="72">
        <f>AG371/AE371-1</f>
        <v>-1.1173023067817311E-2</v>
      </c>
      <c r="AH372" s="72">
        <f>AH371/AG371-1</f>
        <v>0</v>
      </c>
      <c r="AI372" s="72">
        <f>AI371/AH371-1</f>
        <v>1.4598540145985384E-2</v>
      </c>
      <c r="AJ372" s="72">
        <f>AJ371/AI371-1</f>
        <v>7.194244604316502E-3</v>
      </c>
      <c r="AK372" s="24"/>
      <c r="AL372" s="72">
        <v>1.4285714285714235E-2</v>
      </c>
      <c r="AM372" s="72">
        <v>-7.0422535211267512E-3</v>
      </c>
      <c r="AN372" s="72">
        <v>-2.1276595744680882E-2</v>
      </c>
      <c r="AO372" s="72">
        <v>2.8985507246376718E-2</v>
      </c>
      <c r="AP372" s="24"/>
      <c r="AQ372" s="72">
        <v>-3.5211267605633756E-2</v>
      </c>
      <c r="AR372" s="72">
        <v>-4.3795620437956151E-2</v>
      </c>
      <c r="AS372" s="72">
        <v>-2.2900763358778664E-2</v>
      </c>
      <c r="AT372" s="72">
        <v>7.03125E-2</v>
      </c>
      <c r="AU372" s="24"/>
      <c r="AV372" s="72">
        <v>-8.0291970802919721E-2</v>
      </c>
      <c r="AW372" s="72">
        <v>-5.555555555555558E-2</v>
      </c>
      <c r="AX372" s="72">
        <v>-4.2016806722689037E-2</v>
      </c>
      <c r="AY372" s="72">
        <v>5.2631578947368363E-2</v>
      </c>
      <c r="AZ372" s="24"/>
      <c r="BA372" s="72">
        <v>-5.0000000000000044E-2</v>
      </c>
    </row>
    <row r="373" spans="1:53" ht="11.25" customHeight="1">
      <c r="A373" s="71" t="s">
        <v>8</v>
      </c>
      <c r="B373" s="24"/>
      <c r="C373" s="73"/>
      <c r="D373" s="73"/>
      <c r="E373" s="73"/>
      <c r="F373" s="73"/>
      <c r="G373" s="24">
        <f>G371/B371-1</f>
        <v>0.18202247191011245</v>
      </c>
      <c r="H373" s="73"/>
      <c r="I373" s="73"/>
      <c r="J373" s="73"/>
      <c r="K373" s="73"/>
      <c r="L373" s="24">
        <f t="shared" ref="L373:AD373" si="350">L371/G371-1</f>
        <v>2.8517110266159662E-2</v>
      </c>
      <c r="M373" s="73">
        <f t="shared" si="350"/>
        <v>6.4000000000000057E-2</v>
      </c>
      <c r="N373" s="73">
        <f t="shared" si="350"/>
        <v>2.9197080291970767E-2</v>
      </c>
      <c r="O373" s="73">
        <f t="shared" si="350"/>
        <v>1.4598540145985384E-2</v>
      </c>
      <c r="P373" s="73">
        <f t="shared" si="350"/>
        <v>2.1126760563380254E-2</v>
      </c>
      <c r="Q373" s="24">
        <f t="shared" si="350"/>
        <v>3.1423290203327126E-2</v>
      </c>
      <c r="R373" s="73">
        <f t="shared" si="350"/>
        <v>2.2556390977443552E-2</v>
      </c>
      <c r="S373" s="73">
        <f t="shared" si="350"/>
        <v>-1.4184397163120588E-2</v>
      </c>
      <c r="T373" s="73">
        <f t="shared" si="350"/>
        <v>2.1582733812949728E-2</v>
      </c>
      <c r="U373" s="73">
        <f t="shared" si="350"/>
        <v>2.7586206896551779E-2</v>
      </c>
      <c r="V373" s="24">
        <f t="shared" si="350"/>
        <v>1.4336917562723928E-2</v>
      </c>
      <c r="W373" s="73">
        <f t="shared" si="350"/>
        <v>-3.8117647058823478E-2</v>
      </c>
      <c r="X373" s="73">
        <f t="shared" si="350"/>
        <v>-2.877697841726623E-2</v>
      </c>
      <c r="Y373" s="73">
        <f t="shared" si="350"/>
        <v>-2.0359154929577405E-2</v>
      </c>
      <c r="Z373" s="73">
        <f t="shared" si="350"/>
        <v>-6.3825503355705249E-2</v>
      </c>
      <c r="AA373" s="24">
        <f t="shared" si="350"/>
        <v>-3.8136042402826864E-2</v>
      </c>
      <c r="AB373" s="73">
        <f t="shared" si="350"/>
        <v>5.2248960371819919E-2</v>
      </c>
      <c r="AC373" s="73">
        <f t="shared" si="350"/>
        <v>3.8881481481481517E-2</v>
      </c>
      <c r="AD373" s="73">
        <f t="shared" si="350"/>
        <v>-1.1429885916799054E-2</v>
      </c>
      <c r="AE373" s="73">
        <f t="shared" ref="AE373:AN373" si="351">AE371/Z371-1</f>
        <v>-6.7531722704134989E-3</v>
      </c>
      <c r="AF373" s="24">
        <f t="shared" si="351"/>
        <v>1.7545438681887848E-2</v>
      </c>
      <c r="AG373" s="73">
        <f t="shared" si="351"/>
        <v>-4.7293517664238616E-3</v>
      </c>
      <c r="AH373" s="73">
        <f t="shared" si="351"/>
        <v>-2.3165940577116406E-2</v>
      </c>
      <c r="AI373" s="73">
        <f t="shared" si="351"/>
        <v>1.0769420952741138E-2</v>
      </c>
      <c r="AJ373" s="73">
        <f t="shared" si="351"/>
        <v>1.0480122412449555E-2</v>
      </c>
      <c r="AK373" s="24">
        <v>-1.7455913438887416E-3</v>
      </c>
      <c r="AL373" s="73">
        <v>3.649635036496357E-2</v>
      </c>
      <c r="AM373" s="73">
        <v>2.9197080291970767E-2</v>
      </c>
      <c r="AN373" s="73">
        <v>-7.194244604316502E-3</v>
      </c>
      <c r="AO373" s="73">
        <v>1.4285714285714235E-2</v>
      </c>
      <c r="AP373" s="24">
        <v>1.8083182640144635E-2</v>
      </c>
      <c r="AQ373" s="73">
        <v>-3.5211267605633756E-2</v>
      </c>
      <c r="AR373" s="73">
        <v>-7.0921985815602828E-2</v>
      </c>
      <c r="AS373" s="73">
        <v>-7.2463768115942018E-2</v>
      </c>
      <c r="AT373" s="73">
        <v>-3.5211267605633756E-2</v>
      </c>
      <c r="AU373" s="24">
        <v>-5.3285968028419228E-2</v>
      </c>
      <c r="AV373" s="73">
        <v>-8.0291970802919721E-2</v>
      </c>
      <c r="AW373" s="73">
        <v>-9.1603053435114545E-2</v>
      </c>
      <c r="AX373" s="73">
        <v>-0.109375</v>
      </c>
      <c r="AY373" s="73">
        <v>-0.12408759124087587</v>
      </c>
      <c r="AZ373" s="24">
        <v>-0.10131332082551592</v>
      </c>
      <c r="BA373" s="73">
        <v>-9.5238095238095233E-2</v>
      </c>
    </row>
    <row r="374" spans="1:53">
      <c r="A374" s="69" t="s">
        <v>88</v>
      </c>
      <c r="B374" s="37">
        <v>147</v>
      </c>
      <c r="C374" s="80" t="s">
        <v>53</v>
      </c>
      <c r="D374" s="80" t="s">
        <v>53</v>
      </c>
      <c r="E374" s="80" t="s">
        <v>53</v>
      </c>
      <c r="F374" s="80" t="s">
        <v>53</v>
      </c>
      <c r="G374" s="37">
        <v>181</v>
      </c>
      <c r="H374" s="70">
        <v>41</v>
      </c>
      <c r="I374" s="70">
        <v>43</v>
      </c>
      <c r="J374" s="70">
        <v>47</v>
      </c>
      <c r="K374" s="70">
        <f>L374-J374-I374-H374</f>
        <v>44</v>
      </c>
      <c r="L374" s="37">
        <v>175</v>
      </c>
      <c r="M374" s="70">
        <v>44</v>
      </c>
      <c r="N374" s="70">
        <v>48</v>
      </c>
      <c r="O374" s="70">
        <v>48</v>
      </c>
      <c r="P374" s="70">
        <f>Q374-O374-N374-M374</f>
        <v>52</v>
      </c>
      <c r="Q374" s="37">
        <v>192</v>
      </c>
      <c r="R374" s="70">
        <v>47</v>
      </c>
      <c r="S374" s="70">
        <v>53</v>
      </c>
      <c r="T374" s="70">
        <v>51</v>
      </c>
      <c r="U374" s="70">
        <f>V374-T374-S374-R374</f>
        <v>58.084000000000003</v>
      </c>
      <c r="V374" s="37">
        <v>209.084</v>
      </c>
      <c r="W374" s="70">
        <v>50.045999999999999</v>
      </c>
      <c r="X374" s="70">
        <v>52.976999999999997</v>
      </c>
      <c r="Y374" s="70">
        <v>54.37</v>
      </c>
      <c r="Z374" s="70">
        <f>AA374-Y374-X374-W374</f>
        <v>51.805</v>
      </c>
      <c r="AA374" s="37">
        <v>209.19800000000001</v>
      </c>
      <c r="AB374" s="70">
        <v>51.332000000000001</v>
      </c>
      <c r="AC374" s="70">
        <v>50.058</v>
      </c>
      <c r="AD374" s="70">
        <v>49.411999999999999</v>
      </c>
      <c r="AE374" s="70">
        <f>AF374-AD374-AC374-AB374</f>
        <v>54.455000000000005</v>
      </c>
      <c r="AF374" s="37">
        <v>205.25700000000001</v>
      </c>
      <c r="AG374" s="70">
        <v>50</v>
      </c>
      <c r="AH374" s="70">
        <v>50</v>
      </c>
      <c r="AI374" s="70">
        <v>53</v>
      </c>
      <c r="AJ374" s="70">
        <f>AK374-AI374-AH374-AG374</f>
        <v>56</v>
      </c>
      <c r="AK374" s="37">
        <v>209</v>
      </c>
      <c r="AL374" s="70">
        <v>53</v>
      </c>
      <c r="AM374" s="70">
        <v>53</v>
      </c>
      <c r="AN374" s="70">
        <v>49</v>
      </c>
      <c r="AO374" s="70">
        <v>54</v>
      </c>
      <c r="AP374" s="37">
        <v>209</v>
      </c>
      <c r="AQ374" s="70">
        <v>57</v>
      </c>
      <c r="AR374" s="70">
        <v>56</v>
      </c>
      <c r="AS374" s="70">
        <v>55</v>
      </c>
      <c r="AT374" s="70">
        <v>53</v>
      </c>
      <c r="AU374" s="37">
        <v>221</v>
      </c>
      <c r="AV374" s="70">
        <v>48</v>
      </c>
      <c r="AW374" s="70">
        <v>46</v>
      </c>
      <c r="AX374" s="70">
        <v>48</v>
      </c>
      <c r="AY374" s="70">
        <v>45</v>
      </c>
      <c r="AZ374" s="37">
        <v>187</v>
      </c>
      <c r="BA374" s="70">
        <v>50</v>
      </c>
    </row>
    <row r="375" spans="1:53">
      <c r="A375" s="71" t="s">
        <v>7</v>
      </c>
      <c r="B375" s="24"/>
      <c r="C375" s="72"/>
      <c r="D375" s="72"/>
      <c r="E375" s="72"/>
      <c r="F375" s="72"/>
      <c r="G375" s="24"/>
      <c r="H375" s="72"/>
      <c r="I375" s="72">
        <f>I374/H374-1</f>
        <v>4.8780487804878092E-2</v>
      </c>
      <c r="J375" s="72">
        <f>J374/I374-1</f>
        <v>9.3023255813953432E-2</v>
      </c>
      <c r="K375" s="72">
        <f>K374/J374-1</f>
        <v>-6.3829787234042534E-2</v>
      </c>
      <c r="L375" s="24"/>
      <c r="M375" s="72">
        <f>M374/K374-1</f>
        <v>0</v>
      </c>
      <c r="N375" s="72">
        <f>N374/M374-1</f>
        <v>9.0909090909090828E-2</v>
      </c>
      <c r="O375" s="72">
        <f>O374/N374-1</f>
        <v>0</v>
      </c>
      <c r="P375" s="72">
        <f>P374/O374-1</f>
        <v>8.3333333333333259E-2</v>
      </c>
      <c r="Q375" s="24"/>
      <c r="R375" s="72">
        <f>R374/P374-1</f>
        <v>-9.6153846153846145E-2</v>
      </c>
      <c r="S375" s="72">
        <f>S374/R374-1</f>
        <v>0.12765957446808507</v>
      </c>
      <c r="T375" s="72">
        <f>T374/S374-1</f>
        <v>-3.7735849056603765E-2</v>
      </c>
      <c r="U375" s="72">
        <f>U374/T374-1</f>
        <v>0.13890196078431383</v>
      </c>
      <c r="V375" s="24"/>
      <c r="W375" s="72">
        <f>W374/U374-1</f>
        <v>-0.13838578610288554</v>
      </c>
      <c r="X375" s="72">
        <f>X374/W374-1</f>
        <v>5.8566119170363251E-2</v>
      </c>
      <c r="Y375" s="72">
        <f>Y374/X374-1</f>
        <v>2.629442965815354E-2</v>
      </c>
      <c r="Z375" s="72">
        <f>Z374/Y374-1</f>
        <v>-4.7176751885230739E-2</v>
      </c>
      <c r="AA375" s="24"/>
      <c r="AB375" s="72">
        <f>AB374/Z374-1</f>
        <v>-9.1303928192258965E-3</v>
      </c>
      <c r="AC375" s="72">
        <f>AC374/AB374-1</f>
        <v>-2.4818826463025023E-2</v>
      </c>
      <c r="AD375" s="72">
        <f>AD374/AC374-1</f>
        <v>-1.2905030165008657E-2</v>
      </c>
      <c r="AE375" s="72">
        <f>AE374/AD374-1</f>
        <v>0.10206022828462724</v>
      </c>
      <c r="AF375" s="24"/>
      <c r="AG375" s="72">
        <f>AG374/AE374-1</f>
        <v>-8.1810669360022126E-2</v>
      </c>
      <c r="AH375" s="72">
        <f>AH374/AG374-1</f>
        <v>0</v>
      </c>
      <c r="AI375" s="72">
        <f>AI374/AH374-1</f>
        <v>6.0000000000000053E-2</v>
      </c>
      <c r="AJ375" s="72">
        <f>AJ374/AI374-1</f>
        <v>5.6603773584905648E-2</v>
      </c>
      <c r="AK375" s="24"/>
      <c r="AL375" s="72">
        <v>-5.3571428571428603E-2</v>
      </c>
      <c r="AM375" s="72">
        <v>0</v>
      </c>
      <c r="AN375" s="72">
        <v>-7.547169811320753E-2</v>
      </c>
      <c r="AO375" s="72">
        <v>0.1020408163265305</v>
      </c>
      <c r="AP375" s="24"/>
      <c r="AQ375" s="72">
        <v>5.555555555555558E-2</v>
      </c>
      <c r="AR375" s="72">
        <v>-1.7543859649122862E-2</v>
      </c>
      <c r="AS375" s="72">
        <v>-1.7857142857142905E-2</v>
      </c>
      <c r="AT375" s="72">
        <v>-3.6363636363636376E-2</v>
      </c>
      <c r="AU375" s="24"/>
      <c r="AV375" s="72">
        <v>-9.4339622641509413E-2</v>
      </c>
      <c r="AW375" s="72">
        <v>-4.166666666666663E-2</v>
      </c>
      <c r="AX375" s="72">
        <v>4.3478260869565188E-2</v>
      </c>
      <c r="AY375" s="72">
        <v>-6.25E-2</v>
      </c>
      <c r="AZ375" s="24"/>
      <c r="BA375" s="72">
        <v>0.11111111111111116</v>
      </c>
    </row>
    <row r="376" spans="1:53">
      <c r="A376" s="71" t="s">
        <v>8</v>
      </c>
      <c r="B376" s="24"/>
      <c r="C376" s="73"/>
      <c r="D376" s="73"/>
      <c r="E376" s="73"/>
      <c r="F376" s="73"/>
      <c r="G376" s="24">
        <f>G374/B374-1</f>
        <v>0.23129251700680276</v>
      </c>
      <c r="H376" s="73"/>
      <c r="I376" s="73"/>
      <c r="J376" s="73"/>
      <c r="K376" s="73"/>
      <c r="L376" s="24">
        <f t="shared" ref="L376:AD376" si="352">L374/G374-1</f>
        <v>-3.3149171270718258E-2</v>
      </c>
      <c r="M376" s="73">
        <f t="shared" si="352"/>
        <v>7.3170731707317138E-2</v>
      </c>
      <c r="N376" s="73">
        <f t="shared" si="352"/>
        <v>0.11627906976744184</v>
      </c>
      <c r="O376" s="73">
        <f t="shared" si="352"/>
        <v>2.1276595744680771E-2</v>
      </c>
      <c r="P376" s="73">
        <f t="shared" si="352"/>
        <v>0.18181818181818188</v>
      </c>
      <c r="Q376" s="24">
        <f t="shared" si="352"/>
        <v>9.7142857142857197E-2</v>
      </c>
      <c r="R376" s="73">
        <f t="shared" si="352"/>
        <v>6.8181818181818121E-2</v>
      </c>
      <c r="S376" s="73">
        <f t="shared" si="352"/>
        <v>0.10416666666666674</v>
      </c>
      <c r="T376" s="73">
        <f t="shared" si="352"/>
        <v>6.25E-2</v>
      </c>
      <c r="U376" s="73">
        <f t="shared" si="352"/>
        <v>0.11699999999999999</v>
      </c>
      <c r="V376" s="24">
        <f t="shared" si="352"/>
        <v>8.8979166666666609E-2</v>
      </c>
      <c r="W376" s="73">
        <f t="shared" si="352"/>
        <v>6.4808510638297845E-2</v>
      </c>
      <c r="X376" s="73">
        <f t="shared" si="352"/>
        <v>-4.3396226415104433E-4</v>
      </c>
      <c r="Y376" s="73">
        <f t="shared" si="352"/>
        <v>6.6078431372548874E-2</v>
      </c>
      <c r="Z376" s="73">
        <f t="shared" si="352"/>
        <v>-0.10810205908683979</v>
      </c>
      <c r="AA376" s="24">
        <f t="shared" si="352"/>
        <v>5.4523540777862145E-4</v>
      </c>
      <c r="AB376" s="73">
        <f t="shared" si="352"/>
        <v>2.5696359349398623E-2</v>
      </c>
      <c r="AC376" s="73">
        <f t="shared" si="352"/>
        <v>-5.5099382751005122E-2</v>
      </c>
      <c r="AD376" s="73">
        <f t="shared" si="352"/>
        <v>-9.118999448225118E-2</v>
      </c>
      <c r="AE376" s="73">
        <f t="shared" ref="AE376:AN376" si="353">AE374/Z374-1</f>
        <v>5.1153363574944599E-2</v>
      </c>
      <c r="AF376" s="24">
        <f t="shared" si="353"/>
        <v>-1.8838612223826212E-2</v>
      </c>
      <c r="AG376" s="73">
        <f t="shared" si="353"/>
        <v>-2.5948725940933559E-2</v>
      </c>
      <c r="AH376" s="73">
        <f t="shared" si="353"/>
        <v>-1.1586559590874845E-3</v>
      </c>
      <c r="AI376" s="73">
        <f t="shared" si="353"/>
        <v>7.261393993361942E-2</v>
      </c>
      <c r="AJ376" s="73">
        <f t="shared" si="353"/>
        <v>2.8372050316775255E-2</v>
      </c>
      <c r="AK376" s="24">
        <v>1.8235675275386498E-2</v>
      </c>
      <c r="AL376" s="73">
        <v>6.0000000000000053E-2</v>
      </c>
      <c r="AM376" s="73">
        <v>6.0000000000000053E-2</v>
      </c>
      <c r="AN376" s="73">
        <v>-7.547169811320753E-2</v>
      </c>
      <c r="AO376" s="73">
        <v>-3.5714285714285698E-2</v>
      </c>
      <c r="AP376" s="24">
        <v>0</v>
      </c>
      <c r="AQ376" s="73">
        <v>7.547169811320753E-2</v>
      </c>
      <c r="AR376" s="73">
        <v>5.6603773584905648E-2</v>
      </c>
      <c r="AS376" s="73">
        <v>0.12244897959183665</v>
      </c>
      <c r="AT376" s="73">
        <v>-1.851851851851849E-2</v>
      </c>
      <c r="AU376" s="24">
        <v>5.741626794258381E-2</v>
      </c>
      <c r="AV376" s="73">
        <v>-0.15789473684210531</v>
      </c>
      <c r="AW376" s="73">
        <v>-0.1785714285714286</v>
      </c>
      <c r="AX376" s="73">
        <v>-0.12727272727272732</v>
      </c>
      <c r="AY376" s="73">
        <v>-0.15094339622641506</v>
      </c>
      <c r="AZ376" s="24">
        <v>-0.15384615384615385</v>
      </c>
      <c r="BA376" s="73">
        <v>4.1666666666666741E-2</v>
      </c>
    </row>
    <row r="377" spans="1:53">
      <c r="A377" s="69" t="s">
        <v>89</v>
      </c>
      <c r="B377" s="37">
        <v>94</v>
      </c>
      <c r="C377" s="80" t="s">
        <v>53</v>
      </c>
      <c r="D377" s="80" t="s">
        <v>53</v>
      </c>
      <c r="E377" s="80" t="s">
        <v>53</v>
      </c>
      <c r="F377" s="80" t="s">
        <v>53</v>
      </c>
      <c r="G377" s="37">
        <v>103</v>
      </c>
      <c r="H377" s="70">
        <v>24</v>
      </c>
      <c r="I377" s="70">
        <v>26</v>
      </c>
      <c r="J377" s="70">
        <v>24</v>
      </c>
      <c r="K377" s="70">
        <f>L377-J377-I377-H377</f>
        <v>31</v>
      </c>
      <c r="L377" s="37">
        <v>105</v>
      </c>
      <c r="M377" s="70">
        <v>28</v>
      </c>
      <c r="N377" s="70">
        <v>27</v>
      </c>
      <c r="O377" s="70">
        <v>26</v>
      </c>
      <c r="P377" s="70">
        <f>Q377-O377-N377-M377</f>
        <v>28</v>
      </c>
      <c r="Q377" s="37">
        <v>109</v>
      </c>
      <c r="R377" s="70">
        <v>28</v>
      </c>
      <c r="S377" s="70">
        <v>26</v>
      </c>
      <c r="T377" s="70">
        <v>30</v>
      </c>
      <c r="U377" s="70">
        <f>V377-T377-S377-R377</f>
        <v>32.278000000000006</v>
      </c>
      <c r="V377" s="37">
        <f>115.861+0.417</f>
        <v>116.27800000000001</v>
      </c>
      <c r="W377" s="70">
        <v>31.416</v>
      </c>
      <c r="X377" s="70">
        <v>28.713000000000001</v>
      </c>
      <c r="Y377" s="70">
        <v>29.314</v>
      </c>
      <c r="Z377" s="70">
        <f>AA377-Y377-X377-W377</f>
        <v>27.634000000000004</v>
      </c>
      <c r="AA377" s="37">
        <f>117.077</f>
        <v>117.077</v>
      </c>
      <c r="AB377" s="70">
        <v>29.92</v>
      </c>
      <c r="AC377" s="70">
        <f>29.967+0.001</f>
        <v>29.968</v>
      </c>
      <c r="AD377" s="70">
        <f>31.247+1.975</f>
        <v>33.222000000000001</v>
      </c>
      <c r="AE377" s="70">
        <f>AF377-AD377-AC377-AB377</f>
        <v>25.918000000000006</v>
      </c>
      <c r="AF377" s="37">
        <f>119.028</f>
        <v>119.02800000000001</v>
      </c>
      <c r="AG377" s="70">
        <v>29</v>
      </c>
      <c r="AH377" s="70">
        <v>30</v>
      </c>
      <c r="AI377" s="70">
        <v>26</v>
      </c>
      <c r="AJ377" s="70">
        <f>AK377-AI377-AH377-AG377</f>
        <v>27</v>
      </c>
      <c r="AK377" s="37">
        <v>112</v>
      </c>
      <c r="AL377" s="70">
        <v>28</v>
      </c>
      <c r="AM377" s="70">
        <v>28</v>
      </c>
      <c r="AN377" s="147">
        <v>29</v>
      </c>
      <c r="AO377" s="70">
        <v>31</v>
      </c>
      <c r="AP377" s="37">
        <v>116</v>
      </c>
      <c r="AQ377" s="70">
        <v>29</v>
      </c>
      <c r="AR377" s="70">
        <v>28</v>
      </c>
      <c r="AS377" s="147">
        <v>28</v>
      </c>
      <c r="AT377" s="70">
        <v>33</v>
      </c>
      <c r="AU377" s="37">
        <v>118</v>
      </c>
      <c r="AV377" s="70">
        <v>29</v>
      </c>
      <c r="AW377" s="70">
        <v>27</v>
      </c>
      <c r="AX377" s="70">
        <v>28</v>
      </c>
      <c r="AY377" s="70">
        <v>31</v>
      </c>
      <c r="AZ377" s="37">
        <v>115</v>
      </c>
      <c r="BA377" s="70">
        <v>28</v>
      </c>
    </row>
    <row r="378" spans="1:53">
      <c r="A378" s="71" t="s">
        <v>7</v>
      </c>
      <c r="B378" s="24"/>
      <c r="C378" s="72"/>
      <c r="D378" s="72"/>
      <c r="E378" s="72"/>
      <c r="F378" s="72"/>
      <c r="G378" s="24"/>
      <c r="H378" s="72"/>
      <c r="I378" s="72">
        <f>I377/H377-1</f>
        <v>8.3333333333333259E-2</v>
      </c>
      <c r="J378" s="72">
        <f>J377/I377-1</f>
        <v>-7.6923076923076872E-2</v>
      </c>
      <c r="K378" s="72">
        <f>K377/J377-1</f>
        <v>0.29166666666666674</v>
      </c>
      <c r="L378" s="24"/>
      <c r="M378" s="72">
        <f>M377/K377-1</f>
        <v>-9.6774193548387122E-2</v>
      </c>
      <c r="N378" s="72">
        <f>N377/M377-1</f>
        <v>-3.5714285714285698E-2</v>
      </c>
      <c r="O378" s="72">
        <f>O377/N377-1</f>
        <v>-3.703703703703709E-2</v>
      </c>
      <c r="P378" s="72">
        <f>P377/O377-1</f>
        <v>7.6923076923076872E-2</v>
      </c>
      <c r="Q378" s="24"/>
      <c r="R378" s="72">
        <f>R377/P377-1</f>
        <v>0</v>
      </c>
      <c r="S378" s="72">
        <f>S377/R377-1</f>
        <v>-7.1428571428571397E-2</v>
      </c>
      <c r="T378" s="72">
        <f>T377/S377-1</f>
        <v>0.15384615384615374</v>
      </c>
      <c r="U378" s="72">
        <f>U377/T377-1</f>
        <v>7.593333333333363E-2</v>
      </c>
      <c r="V378" s="24"/>
      <c r="W378" s="72">
        <f>W377/U377-1</f>
        <v>-2.6705496003470053E-2</v>
      </c>
      <c r="X378" s="72">
        <f>X377/W377-1</f>
        <v>-8.6038961038961026E-2</v>
      </c>
      <c r="Y378" s="72">
        <f>Y377/X377-1</f>
        <v>2.0931285480444428E-2</v>
      </c>
      <c r="Z378" s="72">
        <f>Z377/Y377-1</f>
        <v>-5.7310500102340067E-2</v>
      </c>
      <c r="AA378" s="24"/>
      <c r="AB378" s="72">
        <f>AB377/Z377-1</f>
        <v>8.2724180357530486E-2</v>
      </c>
      <c r="AC378" s="72">
        <f>AC377/AB377-1</f>
        <v>1.6042780748661833E-3</v>
      </c>
      <c r="AD378" s="72">
        <f>AD377/AC377-1</f>
        <v>0.10858248798718639</v>
      </c>
      <c r="AE378" s="72">
        <f>AE377/AD377-1</f>
        <v>-0.21985431340677852</v>
      </c>
      <c r="AF378" s="24"/>
      <c r="AG378" s="72">
        <f>AG377/AE377-1</f>
        <v>0.11891349641175997</v>
      </c>
      <c r="AH378" s="72">
        <f>AH377/AG377-1</f>
        <v>3.4482758620689724E-2</v>
      </c>
      <c r="AI378" s="72">
        <f>AI377/AH377-1</f>
        <v>-0.1333333333333333</v>
      </c>
      <c r="AJ378" s="72">
        <f>AJ377/AI377-1</f>
        <v>3.8461538461538547E-2</v>
      </c>
      <c r="AK378" s="24"/>
      <c r="AL378" s="72">
        <v>3.7037037037036979E-2</v>
      </c>
      <c r="AM378" s="72">
        <v>0</v>
      </c>
      <c r="AN378" s="72">
        <v>3.5714285714285809E-2</v>
      </c>
      <c r="AO378" s="72">
        <v>6.8965517241379226E-2</v>
      </c>
      <c r="AP378" s="24"/>
      <c r="AQ378" s="72">
        <v>-6.4516129032258118E-2</v>
      </c>
      <c r="AR378" s="72">
        <v>-3.4482758620689613E-2</v>
      </c>
      <c r="AS378" s="72">
        <v>0</v>
      </c>
      <c r="AT378" s="72">
        <v>0.1785714285714286</v>
      </c>
      <c r="AU378" s="24"/>
      <c r="AV378" s="72">
        <v>-0.12121212121212122</v>
      </c>
      <c r="AW378" s="72">
        <v>-6.8965517241379337E-2</v>
      </c>
      <c r="AX378" s="72">
        <v>3.7037037037036979E-2</v>
      </c>
      <c r="AY378" s="72">
        <v>0.10714285714285721</v>
      </c>
      <c r="AZ378" s="24"/>
      <c r="BA378" s="72">
        <v>-9.6774193548387122E-2</v>
      </c>
    </row>
    <row r="379" spans="1:53">
      <c r="A379" s="71" t="s">
        <v>8</v>
      </c>
      <c r="B379" s="24"/>
      <c r="C379" s="73"/>
      <c r="D379" s="73"/>
      <c r="E379" s="73"/>
      <c r="F379" s="73"/>
      <c r="G379" s="24">
        <f>G377/B377-1</f>
        <v>9.5744680851063801E-2</v>
      </c>
      <c r="H379" s="73"/>
      <c r="I379" s="73"/>
      <c r="J379" s="73"/>
      <c r="K379" s="73"/>
      <c r="L379" s="24">
        <f t="shared" ref="L379:AD379" si="354">L377/G377-1</f>
        <v>1.9417475728155331E-2</v>
      </c>
      <c r="M379" s="73">
        <f t="shared" si="354"/>
        <v>0.16666666666666674</v>
      </c>
      <c r="N379" s="73">
        <f t="shared" si="354"/>
        <v>3.8461538461538547E-2</v>
      </c>
      <c r="O379" s="73">
        <f t="shared" si="354"/>
        <v>8.3333333333333259E-2</v>
      </c>
      <c r="P379" s="73">
        <f t="shared" si="354"/>
        <v>-9.6774193548387122E-2</v>
      </c>
      <c r="Q379" s="24">
        <f t="shared" si="354"/>
        <v>3.8095238095238182E-2</v>
      </c>
      <c r="R379" s="73">
        <f t="shared" si="354"/>
        <v>0</v>
      </c>
      <c r="S379" s="73">
        <f t="shared" si="354"/>
        <v>-3.703703703703709E-2</v>
      </c>
      <c r="T379" s="73">
        <f t="shared" si="354"/>
        <v>0.15384615384615374</v>
      </c>
      <c r="U379" s="73">
        <f t="shared" si="354"/>
        <v>0.15278571428571452</v>
      </c>
      <c r="V379" s="24">
        <f t="shared" si="354"/>
        <v>6.6770642201834818E-2</v>
      </c>
      <c r="W379" s="73">
        <f t="shared" si="354"/>
        <v>0.12200000000000011</v>
      </c>
      <c r="X379" s="73">
        <f t="shared" si="354"/>
        <v>0.10434615384615387</v>
      </c>
      <c r="Y379" s="73">
        <f t="shared" si="354"/>
        <v>-2.2866666666666702E-2</v>
      </c>
      <c r="Z379" s="73">
        <f t="shared" si="354"/>
        <v>-0.14387508519734804</v>
      </c>
      <c r="AA379" s="24">
        <f t="shared" si="354"/>
        <v>6.8714632174615708E-3</v>
      </c>
      <c r="AB379" s="73">
        <f t="shared" si="354"/>
        <v>-4.7619047619047561E-2</v>
      </c>
      <c r="AC379" s="73">
        <f t="shared" si="354"/>
        <v>4.3708424755337205E-2</v>
      </c>
      <c r="AD379" s="73">
        <f t="shared" si="354"/>
        <v>0.13331513952377705</v>
      </c>
      <c r="AE379" s="73">
        <f t="shared" ref="AE379:AN379" si="355">AE377/Z377-1</f>
        <v>-6.2097416226387647E-2</v>
      </c>
      <c r="AF379" s="24">
        <f t="shared" si="355"/>
        <v>1.6664246606933997E-2</v>
      </c>
      <c r="AG379" s="73">
        <f t="shared" si="355"/>
        <v>-3.074866310160429E-2</v>
      </c>
      <c r="AH379" s="73">
        <f t="shared" si="355"/>
        <v>1.0678056593700358E-3</v>
      </c>
      <c r="AI379" s="73">
        <f t="shared" si="355"/>
        <v>-0.21738606947203665</v>
      </c>
      <c r="AJ379" s="73">
        <f t="shared" si="355"/>
        <v>4.1747048383362628E-2</v>
      </c>
      <c r="AK379" s="24">
        <v>-5.9044930604563728E-2</v>
      </c>
      <c r="AL379" s="73">
        <v>-3.4482758620689613E-2</v>
      </c>
      <c r="AM379" s="73">
        <v>-6.6666666666666652E-2</v>
      </c>
      <c r="AN379" s="73">
        <v>0.11538461538461542</v>
      </c>
      <c r="AO379" s="73">
        <v>0.14814814814814814</v>
      </c>
      <c r="AP379" s="24">
        <v>3.5714285714285809E-2</v>
      </c>
      <c r="AQ379" s="73">
        <v>3.5714285714285809E-2</v>
      </c>
      <c r="AR379" s="73">
        <v>0</v>
      </c>
      <c r="AS379" s="73">
        <v>-3.4482758620689613E-2</v>
      </c>
      <c r="AT379" s="73">
        <v>6.4516129032258007E-2</v>
      </c>
      <c r="AU379" s="24">
        <v>1.7241379310344751E-2</v>
      </c>
      <c r="AV379" s="73">
        <v>0</v>
      </c>
      <c r="AW379" s="73">
        <v>-3.5714285714285698E-2</v>
      </c>
      <c r="AX379" s="73">
        <v>0</v>
      </c>
      <c r="AY379" s="73">
        <v>-6.0606060606060552E-2</v>
      </c>
      <c r="AZ379" s="24">
        <v>-2.5423728813559365E-2</v>
      </c>
      <c r="BA379" s="73">
        <v>-3.4482758620689613E-2</v>
      </c>
    </row>
    <row r="380" spans="1:53" ht="11.25" customHeight="1">
      <c r="A380" s="69" t="s">
        <v>106</v>
      </c>
      <c r="B380" s="63" t="s">
        <v>152</v>
      </c>
      <c r="C380" s="80" t="s">
        <v>53</v>
      </c>
      <c r="D380" s="80" t="s">
        <v>53</v>
      </c>
      <c r="E380" s="80" t="s">
        <v>53</v>
      </c>
      <c r="F380" s="80" t="s">
        <v>53</v>
      </c>
      <c r="G380" s="63" t="s">
        <v>152</v>
      </c>
      <c r="H380" s="80" t="s">
        <v>53</v>
      </c>
      <c r="I380" s="80" t="s">
        <v>53</v>
      </c>
      <c r="J380" s="80" t="s">
        <v>53</v>
      </c>
      <c r="K380" s="80" t="s">
        <v>53</v>
      </c>
      <c r="L380" s="63" t="s">
        <v>152</v>
      </c>
      <c r="M380" s="80" t="s">
        <v>53</v>
      </c>
      <c r="N380" s="80" t="s">
        <v>53</v>
      </c>
      <c r="O380" s="80" t="s">
        <v>53</v>
      </c>
      <c r="P380" s="80" t="s">
        <v>53</v>
      </c>
      <c r="Q380" s="63" t="s">
        <v>152</v>
      </c>
      <c r="R380" s="80" t="s">
        <v>53</v>
      </c>
      <c r="S380" s="80" t="s">
        <v>53</v>
      </c>
      <c r="T380" s="80" t="s">
        <v>53</v>
      </c>
      <c r="U380" s="80" t="s">
        <v>53</v>
      </c>
      <c r="V380" s="63" t="s">
        <v>152</v>
      </c>
      <c r="W380" s="80" t="s">
        <v>53</v>
      </c>
      <c r="X380" s="80" t="s">
        <v>53</v>
      </c>
      <c r="Y380" s="80" t="s">
        <v>53</v>
      </c>
      <c r="Z380" s="80" t="s">
        <v>53</v>
      </c>
      <c r="AA380" s="63" t="s">
        <v>152</v>
      </c>
      <c r="AB380" s="80" t="s">
        <v>53</v>
      </c>
      <c r="AC380" s="80" t="s">
        <v>53</v>
      </c>
      <c r="AD380" s="80" t="s">
        <v>53</v>
      </c>
      <c r="AE380" s="80" t="s">
        <v>53</v>
      </c>
      <c r="AF380" s="63">
        <v>3</v>
      </c>
      <c r="AG380" s="151" t="s">
        <v>152</v>
      </c>
      <c r="AH380" s="151" t="s">
        <v>152</v>
      </c>
      <c r="AI380" s="151" t="s">
        <v>152</v>
      </c>
      <c r="AJ380" s="151" t="s">
        <v>152</v>
      </c>
      <c r="AK380" s="63" t="s">
        <v>152</v>
      </c>
      <c r="AL380" s="186" t="s">
        <v>152</v>
      </c>
      <c r="AM380" s="186">
        <v>-2</v>
      </c>
      <c r="AN380" s="186">
        <v>1</v>
      </c>
      <c r="AO380" s="186">
        <v>-1</v>
      </c>
      <c r="AP380" s="178">
        <v>-2</v>
      </c>
      <c r="AQ380" s="70">
        <v>14</v>
      </c>
      <c r="AR380" s="151" t="s">
        <v>152</v>
      </c>
      <c r="AS380" s="151" t="s">
        <v>152</v>
      </c>
      <c r="AT380" s="193">
        <v>4</v>
      </c>
      <c r="AU380" s="178">
        <v>18</v>
      </c>
      <c r="AV380" s="151" t="s">
        <v>152</v>
      </c>
      <c r="AW380" s="151">
        <v>1</v>
      </c>
      <c r="AX380" s="151">
        <v>-1</v>
      </c>
      <c r="AY380" s="70">
        <v>3</v>
      </c>
      <c r="AZ380" s="178">
        <v>3</v>
      </c>
      <c r="BA380" s="151">
        <v>2</v>
      </c>
    </row>
    <row r="381" spans="1:53" ht="15.75" customHeight="1">
      <c r="A381" s="69" t="s">
        <v>210</v>
      </c>
      <c r="B381" s="37">
        <v>240</v>
      </c>
      <c r="C381" s="80" t="s">
        <v>53</v>
      </c>
      <c r="D381" s="80" t="s">
        <v>53</v>
      </c>
      <c r="E381" s="80" t="s">
        <v>53</v>
      </c>
      <c r="F381" s="80" t="s">
        <v>53</v>
      </c>
      <c r="G381" s="37">
        <v>260</v>
      </c>
      <c r="H381" s="80" t="s">
        <v>53</v>
      </c>
      <c r="I381" s="80" t="s">
        <v>53</v>
      </c>
      <c r="J381" s="80" t="s">
        <v>53</v>
      </c>
      <c r="K381" s="80" t="s">
        <v>53</v>
      </c>
      <c r="L381" s="37">
        <v>242</v>
      </c>
      <c r="M381" s="80" t="s">
        <v>53</v>
      </c>
      <c r="N381" s="80" t="s">
        <v>53</v>
      </c>
      <c r="O381" s="80" t="s">
        <v>53</v>
      </c>
      <c r="P381" s="80" t="s">
        <v>53</v>
      </c>
      <c r="Q381" s="37">
        <v>248</v>
      </c>
      <c r="R381" s="80" t="s">
        <v>53</v>
      </c>
      <c r="S381" s="80" t="s">
        <v>53</v>
      </c>
      <c r="T381" s="80" t="s">
        <v>53</v>
      </c>
      <c r="U381" s="80" t="s">
        <v>53</v>
      </c>
      <c r="V381" s="37">
        <v>265</v>
      </c>
      <c r="W381" s="80" t="s">
        <v>53</v>
      </c>
      <c r="X381" s="80" t="s">
        <v>53</v>
      </c>
      <c r="Y381" s="80" t="s">
        <v>53</v>
      </c>
      <c r="Z381" s="80" t="s">
        <v>53</v>
      </c>
      <c r="AA381" s="37">
        <v>278</v>
      </c>
      <c r="AB381" s="70">
        <v>73</v>
      </c>
      <c r="AC381" s="70">
        <v>70</v>
      </c>
      <c r="AD381" s="70">
        <v>70</v>
      </c>
      <c r="AE381" s="70">
        <f>AF381-AD381-AC381-AB381</f>
        <v>74</v>
      </c>
      <c r="AF381" s="37">
        <v>287</v>
      </c>
      <c r="AG381" s="70">
        <v>75</v>
      </c>
      <c r="AH381" s="70">
        <v>73</v>
      </c>
      <c r="AI381" s="70">
        <v>75</v>
      </c>
      <c r="AJ381" s="70">
        <f>AK381-AI381-AH381-AG381</f>
        <v>75</v>
      </c>
      <c r="AK381" s="37">
        <v>298</v>
      </c>
      <c r="AL381" s="70">
        <v>77</v>
      </c>
      <c r="AM381" s="70">
        <v>74</v>
      </c>
      <c r="AN381" s="70">
        <v>75</v>
      </c>
      <c r="AO381" s="70">
        <v>77</v>
      </c>
      <c r="AP381" s="37">
        <v>303</v>
      </c>
      <c r="AQ381" s="70">
        <v>83</v>
      </c>
      <c r="AR381" s="70">
        <v>82</v>
      </c>
      <c r="AS381" s="70">
        <v>83</v>
      </c>
      <c r="AT381" s="70">
        <v>82</v>
      </c>
      <c r="AU381" s="37">
        <v>330</v>
      </c>
      <c r="AV381" s="70">
        <v>84</v>
      </c>
      <c r="AW381" s="70">
        <v>81</v>
      </c>
      <c r="AX381" s="70">
        <v>81</v>
      </c>
      <c r="AY381" s="70">
        <v>78</v>
      </c>
      <c r="AZ381" s="37">
        <v>324</v>
      </c>
      <c r="BA381" s="70">
        <v>83</v>
      </c>
    </row>
    <row r="382" spans="1:53">
      <c r="A382" s="71" t="s">
        <v>7</v>
      </c>
      <c r="B382" s="24"/>
      <c r="C382" s="73"/>
      <c r="D382" s="73"/>
      <c r="E382" s="73"/>
      <c r="F382" s="73"/>
      <c r="G382" s="24"/>
      <c r="H382" s="73"/>
      <c r="I382" s="73"/>
      <c r="J382" s="73"/>
      <c r="K382" s="73"/>
      <c r="L382" s="24"/>
      <c r="M382" s="73"/>
      <c r="N382" s="73"/>
      <c r="O382" s="73"/>
      <c r="P382" s="73"/>
      <c r="Q382" s="24"/>
      <c r="R382" s="73"/>
      <c r="S382" s="73"/>
      <c r="T382" s="73"/>
      <c r="U382" s="73"/>
      <c r="V382" s="24"/>
      <c r="W382" s="73"/>
      <c r="X382" s="73"/>
      <c r="Y382" s="73"/>
      <c r="Z382" s="73"/>
      <c r="AA382" s="24"/>
      <c r="AB382" s="72"/>
      <c r="AC382" s="72">
        <f>AC381/AB381-1</f>
        <v>-4.1095890410958957E-2</v>
      </c>
      <c r="AD382" s="72">
        <f>AD381/AC381-1</f>
        <v>0</v>
      </c>
      <c r="AE382" s="72">
        <f>AE381/AD381-1</f>
        <v>5.7142857142857162E-2</v>
      </c>
      <c r="AF382" s="24"/>
      <c r="AG382" s="72">
        <f>AG381/AE381-1</f>
        <v>1.3513513513513598E-2</v>
      </c>
      <c r="AH382" s="72">
        <f>AH381/AG381-1</f>
        <v>-2.6666666666666616E-2</v>
      </c>
      <c r="AI382" s="72">
        <f>AI381/AH381-1</f>
        <v>2.7397260273972712E-2</v>
      </c>
      <c r="AJ382" s="72">
        <f>AJ381/AI381-1</f>
        <v>0</v>
      </c>
      <c r="AK382" s="24"/>
      <c r="AL382" s="72">
        <v>2.6666666666666616E-2</v>
      </c>
      <c r="AM382" s="72">
        <v>-3.8961038961038974E-2</v>
      </c>
      <c r="AN382" s="72">
        <v>1.3513513513513598E-2</v>
      </c>
      <c r="AO382" s="72">
        <v>2.6666666666666616E-2</v>
      </c>
      <c r="AP382" s="24"/>
      <c r="AQ382" s="72">
        <v>7.7922077922077948E-2</v>
      </c>
      <c r="AR382" s="72">
        <v>-1.2048192771084376E-2</v>
      </c>
      <c r="AS382" s="72">
        <v>1.2195121951219523E-2</v>
      </c>
      <c r="AT382" s="72">
        <v>-1.2048192771084376E-2</v>
      </c>
      <c r="AU382" s="24"/>
      <c r="AV382" s="72">
        <v>2.4390243902439046E-2</v>
      </c>
      <c r="AW382" s="72">
        <v>-3.5714285714285698E-2</v>
      </c>
      <c r="AX382" s="72">
        <v>0</v>
      </c>
      <c r="AY382" s="72">
        <v>-3.703703703703709E-2</v>
      </c>
      <c r="AZ382" s="24"/>
      <c r="BA382" s="72">
        <v>6.4102564102564097E-2</v>
      </c>
    </row>
    <row r="383" spans="1:53">
      <c r="A383" s="71" t="s">
        <v>8</v>
      </c>
      <c r="B383" s="24"/>
      <c r="C383" s="73"/>
      <c r="D383" s="73"/>
      <c r="E383" s="73"/>
      <c r="F383" s="73"/>
      <c r="G383" s="24">
        <f>G381/B381-1</f>
        <v>8.3333333333333259E-2</v>
      </c>
      <c r="H383" s="73"/>
      <c r="I383" s="73"/>
      <c r="J383" s="73"/>
      <c r="K383" s="73"/>
      <c r="L383" s="24">
        <f>L381/G381-1</f>
        <v>-6.9230769230769207E-2</v>
      </c>
      <c r="M383" s="73"/>
      <c r="N383" s="73"/>
      <c r="O383" s="73"/>
      <c r="P383" s="73"/>
      <c r="Q383" s="24">
        <f>Q381/L381-1</f>
        <v>2.4793388429751984E-2</v>
      </c>
      <c r="R383" s="73"/>
      <c r="S383" s="73"/>
      <c r="T383" s="73"/>
      <c r="U383" s="73"/>
      <c r="V383" s="24">
        <f>V381/Q381-1</f>
        <v>6.8548387096774244E-2</v>
      </c>
      <c r="W383" s="73"/>
      <c r="X383" s="73"/>
      <c r="Y383" s="73"/>
      <c r="Z383" s="73"/>
      <c r="AA383" s="24">
        <f>AA381/V381-1</f>
        <v>4.9056603773584895E-2</v>
      </c>
      <c r="AB383" s="73"/>
      <c r="AC383" s="73"/>
      <c r="AD383" s="73"/>
      <c r="AE383" s="73"/>
      <c r="AF383" s="24">
        <f t="shared" ref="AF383" si="356">AF381/AA381-1</f>
        <v>3.2374100719424481E-2</v>
      </c>
      <c r="AG383" s="73">
        <f t="shared" ref="AG383" si="357">AG381/AB381-1</f>
        <v>2.7397260273972712E-2</v>
      </c>
      <c r="AH383" s="73">
        <f t="shared" ref="AH383" si="358">AH381/AC381-1</f>
        <v>4.2857142857142927E-2</v>
      </c>
      <c r="AI383" s="73">
        <f t="shared" ref="AI383" si="359">AI381/AD381-1</f>
        <v>7.1428571428571397E-2</v>
      </c>
      <c r="AJ383" s="73">
        <f t="shared" ref="AJ383" si="360">AJ381/AE381-1</f>
        <v>1.3513513513513598E-2</v>
      </c>
      <c r="AK383" s="24">
        <v>3.8327526132404088E-2</v>
      </c>
      <c r="AL383" s="73">
        <v>2.6666666666666616E-2</v>
      </c>
      <c r="AM383" s="73">
        <v>1.3698630136986356E-2</v>
      </c>
      <c r="AN383" s="73">
        <v>0</v>
      </c>
      <c r="AO383" s="73">
        <v>2.6666666666666616E-2</v>
      </c>
      <c r="AP383" s="24">
        <v>1.6778523489932917E-2</v>
      </c>
      <c r="AQ383" s="73">
        <v>7.7922077922077948E-2</v>
      </c>
      <c r="AR383" s="73">
        <v>0.10810810810810811</v>
      </c>
      <c r="AS383" s="73">
        <v>0.10666666666666669</v>
      </c>
      <c r="AT383" s="73">
        <v>6.4935064935064846E-2</v>
      </c>
      <c r="AU383" s="24">
        <v>8.9108910891089188E-2</v>
      </c>
      <c r="AV383" s="73">
        <v>1.2048192771084265E-2</v>
      </c>
      <c r="AW383" s="73">
        <v>-1.2195121951219523E-2</v>
      </c>
      <c r="AX383" s="73">
        <v>-2.4096385542168641E-2</v>
      </c>
      <c r="AY383" s="73">
        <v>-4.8780487804878092E-2</v>
      </c>
      <c r="AZ383" s="24">
        <v>-1.8181818181818188E-2</v>
      </c>
      <c r="BA383" s="73">
        <v>-1.1904761904761862E-2</v>
      </c>
    </row>
    <row r="384" spans="1:53" s="36" customFormat="1">
      <c r="A384" s="69" t="s">
        <v>211</v>
      </c>
      <c r="B384" s="37">
        <f>46.096+24.952+15.549</f>
        <v>86.597000000000008</v>
      </c>
      <c r="C384" s="70">
        <v>20</v>
      </c>
      <c r="D384" s="70">
        <f>10.137+5.245+4.935</f>
        <v>20.317</v>
      </c>
      <c r="E384" s="70">
        <f>10.15+5.082+4.672</f>
        <v>19.904</v>
      </c>
      <c r="F384" s="70">
        <f>G384-E384-D384-C384</f>
        <v>19.860999999999997</v>
      </c>
      <c r="G384" s="37">
        <f>40.852+20.34+18.89</f>
        <v>80.081999999999994</v>
      </c>
      <c r="H384" s="70">
        <f>10.212+4.612+4.79</f>
        <v>19.614000000000001</v>
      </c>
      <c r="I384" s="70">
        <f>10.079+5.233+5.362</f>
        <v>20.673999999999999</v>
      </c>
      <c r="J384" s="70">
        <f>10.169+5.512+5.719</f>
        <v>21.400000000000002</v>
      </c>
      <c r="K384" s="70">
        <f>L384-J384-I384-H384</f>
        <v>22.546000000000003</v>
      </c>
      <c r="L384" s="37">
        <f>41.005+21.158+22.071</f>
        <v>84.234000000000009</v>
      </c>
      <c r="M384" s="70">
        <f>10.003+6.211+6.375</f>
        <v>22.588999999999999</v>
      </c>
      <c r="N384" s="70">
        <v>23</v>
      </c>
      <c r="O384" s="70">
        <v>23.52</v>
      </c>
      <c r="P384" s="70">
        <f>Q384-O384-N384-M384</f>
        <v>25.182000000000002</v>
      </c>
      <c r="Q384" s="37">
        <f>42.96+25.374+25.957</f>
        <v>94.290999999999997</v>
      </c>
      <c r="R384" s="70">
        <f>11.201+6.443+6.622</f>
        <v>24.265999999999998</v>
      </c>
      <c r="S384" s="70">
        <f>11.652+8.008+6.743</f>
        <v>26.402999999999999</v>
      </c>
      <c r="T384" s="70">
        <f>12.275+8.876+6.822</f>
        <v>27.972999999999999</v>
      </c>
      <c r="U384" s="70">
        <f>V384-T384-S384-R384</f>
        <v>30.244</v>
      </c>
      <c r="V384" s="37">
        <f>48.323+33.462+27.101</f>
        <v>108.886</v>
      </c>
      <c r="W384" s="70">
        <f>17.646+10.076+6.634</f>
        <v>34.356000000000002</v>
      </c>
      <c r="X384" s="70">
        <f>17.483+10.26+6.699</f>
        <v>34.442</v>
      </c>
      <c r="Y384" s="70">
        <f>17.873+11.189+5.441</f>
        <v>34.503</v>
      </c>
      <c r="Z384" s="70">
        <f>AA384-Y384-X384-W384</f>
        <v>33.073</v>
      </c>
      <c r="AA384" s="37">
        <f>71.403+43.312+21.659</f>
        <v>136.374</v>
      </c>
      <c r="AB384" s="70">
        <f>17.414+10.524+3.354</f>
        <v>31.292000000000002</v>
      </c>
      <c r="AC384" s="70">
        <f>17.625+10.517+4.39</f>
        <v>32.531999999999996</v>
      </c>
      <c r="AD384" s="70">
        <f>17.249+11.187+4.514</f>
        <v>32.950000000000003</v>
      </c>
      <c r="AE384" s="70">
        <f>AF384-AD384-AC384-AB384</f>
        <v>32.225999999999999</v>
      </c>
      <c r="AF384" s="37">
        <f>69+43+17</f>
        <v>129</v>
      </c>
      <c r="AG384" s="70">
        <v>32</v>
      </c>
      <c r="AH384" s="70">
        <v>32</v>
      </c>
      <c r="AI384" s="70">
        <v>32</v>
      </c>
      <c r="AJ384" s="70">
        <f>AK384-AI384-AH384-AG384</f>
        <v>34</v>
      </c>
      <c r="AK384" s="37">
        <v>130</v>
      </c>
      <c r="AL384" s="70">
        <v>32</v>
      </c>
      <c r="AM384" s="70">
        <v>32</v>
      </c>
      <c r="AN384" s="70">
        <v>33</v>
      </c>
      <c r="AO384" s="70">
        <v>35</v>
      </c>
      <c r="AP384" s="37">
        <v>132</v>
      </c>
      <c r="AQ384" s="70">
        <v>33</v>
      </c>
      <c r="AR384" s="70">
        <v>35</v>
      </c>
      <c r="AS384" s="70">
        <v>35</v>
      </c>
      <c r="AT384" s="70">
        <v>34</v>
      </c>
      <c r="AU384" s="37">
        <v>137</v>
      </c>
      <c r="AV384" s="70">
        <v>33</v>
      </c>
      <c r="AW384" s="70">
        <v>33</v>
      </c>
      <c r="AX384" s="70">
        <v>34</v>
      </c>
      <c r="AY384" s="70">
        <v>35</v>
      </c>
      <c r="AZ384" s="37">
        <v>135</v>
      </c>
      <c r="BA384" s="70">
        <v>43</v>
      </c>
    </row>
    <row r="385" spans="1:53">
      <c r="A385" s="82" t="s">
        <v>7</v>
      </c>
      <c r="B385" s="24"/>
      <c r="C385" s="72"/>
      <c r="D385" s="72">
        <f>D384/C384-1</f>
        <v>1.584999999999992E-2</v>
      </c>
      <c r="E385" s="72">
        <f>E384/D384-1</f>
        <v>-2.0327804301816244E-2</v>
      </c>
      <c r="F385" s="72">
        <f>F384/E384-1</f>
        <v>-2.1603697749197348E-3</v>
      </c>
      <c r="G385" s="24"/>
      <c r="H385" s="72">
        <f>H384/F384-1</f>
        <v>-1.2436433210815001E-2</v>
      </c>
      <c r="I385" s="72">
        <f>I384/H384-1</f>
        <v>5.4043030488426513E-2</v>
      </c>
      <c r="J385" s="72">
        <f>J384/I384-1</f>
        <v>3.5116571539131503E-2</v>
      </c>
      <c r="K385" s="72">
        <f>K384/J384-1</f>
        <v>5.3551401869158965E-2</v>
      </c>
      <c r="L385" s="24"/>
      <c r="M385" s="72">
        <f>M384/K384-1</f>
        <v>1.9072119222920403E-3</v>
      </c>
      <c r="N385" s="72">
        <f>N384/M384-1</f>
        <v>1.8194696533711197E-2</v>
      </c>
      <c r="O385" s="72">
        <f>O384/N384-1</f>
        <v>2.2608695652173827E-2</v>
      </c>
      <c r="P385" s="72">
        <f>P384/O384-1</f>
        <v>7.0663265306122547E-2</v>
      </c>
      <c r="Q385" s="24"/>
      <c r="R385" s="72">
        <f>R384/P384-1</f>
        <v>-3.6375188626797117E-2</v>
      </c>
      <c r="S385" s="72">
        <f>S384/R384-1</f>
        <v>8.8065606197972546E-2</v>
      </c>
      <c r="T385" s="72">
        <f>T384/S384-1</f>
        <v>5.9462939817445104E-2</v>
      </c>
      <c r="U385" s="72">
        <f>U384/T384-1</f>
        <v>8.1185428806348936E-2</v>
      </c>
      <c r="V385" s="24"/>
      <c r="W385" s="72">
        <f>W384/U384-1</f>
        <v>0.13596085173918793</v>
      </c>
      <c r="X385" s="72">
        <f>X384/W384-1</f>
        <v>2.5032017697053099E-3</v>
      </c>
      <c r="Y385" s="72">
        <f>Y384/X384-1</f>
        <v>1.7710934324370875E-3</v>
      </c>
      <c r="Z385" s="72">
        <v>-4.1445671390893501E-2</v>
      </c>
      <c r="AA385" s="24"/>
      <c r="AB385" s="72">
        <f>AB384/Z384-1</f>
        <v>-5.385057297493423E-2</v>
      </c>
      <c r="AC385" s="72">
        <f>AC384/AB384-1</f>
        <v>3.9626741659209763E-2</v>
      </c>
      <c r="AD385" s="72">
        <f>AD384/AC384-1</f>
        <v>1.2848887249477636E-2</v>
      </c>
      <c r="AE385" s="72">
        <f>AE384/AD384-1</f>
        <v>-2.1972685887708732E-2</v>
      </c>
      <c r="AF385" s="24"/>
      <c r="AG385" s="72">
        <f>AG384/AE384-1</f>
        <v>-7.0129708930676271E-3</v>
      </c>
      <c r="AH385" s="72">
        <f>AH384/AG384-1</f>
        <v>0</v>
      </c>
      <c r="AI385" s="72">
        <f>AI384/AH384-1</f>
        <v>0</v>
      </c>
      <c r="AJ385" s="72">
        <f>AJ384/AI384-1</f>
        <v>6.25E-2</v>
      </c>
      <c r="AK385" s="24"/>
      <c r="AL385" s="72">
        <v>-5.8823529411764719E-2</v>
      </c>
      <c r="AM385" s="72">
        <v>0</v>
      </c>
      <c r="AN385" s="72">
        <v>3.125E-2</v>
      </c>
      <c r="AO385" s="72">
        <v>6.0606060606060552E-2</v>
      </c>
      <c r="AP385" s="24"/>
      <c r="AQ385" s="72">
        <v>-5.7142857142857162E-2</v>
      </c>
      <c r="AR385" s="72">
        <v>6.0606060606060552E-2</v>
      </c>
      <c r="AS385" s="72">
        <v>0</v>
      </c>
      <c r="AT385" s="72">
        <v>-2.8571428571428581E-2</v>
      </c>
      <c r="AU385" s="24"/>
      <c r="AV385" s="72">
        <v>-2.9411764705882359E-2</v>
      </c>
      <c r="AW385" s="72">
        <v>0</v>
      </c>
      <c r="AX385" s="72">
        <v>3.0303030303030276E-2</v>
      </c>
      <c r="AY385" s="72">
        <v>2.9411764705882248E-2</v>
      </c>
      <c r="AZ385" s="24"/>
      <c r="BA385" s="72">
        <v>0.22857142857142865</v>
      </c>
    </row>
    <row r="386" spans="1:53">
      <c r="A386" s="82" t="s">
        <v>8</v>
      </c>
      <c r="B386" s="24"/>
      <c r="C386" s="73"/>
      <c r="D386" s="73"/>
      <c r="E386" s="73"/>
      <c r="F386" s="73"/>
      <c r="G386" s="24">
        <f t="shared" ref="G386:N386" si="361">G384/B384-1</f>
        <v>-7.5233553125397146E-2</v>
      </c>
      <c r="H386" s="73">
        <f t="shared" si="361"/>
        <v>-1.9299999999999984E-2</v>
      </c>
      <c r="I386" s="73">
        <f t="shared" si="361"/>
        <v>1.7571491854112331E-2</v>
      </c>
      <c r="J386" s="73">
        <f t="shared" si="361"/>
        <v>7.5160771704180229E-2</v>
      </c>
      <c r="K386" s="73">
        <f t="shared" si="361"/>
        <v>0.13518956749408417</v>
      </c>
      <c r="L386" s="24">
        <f t="shared" si="361"/>
        <v>5.1846856971604405E-2</v>
      </c>
      <c r="M386" s="73">
        <f t="shared" si="361"/>
        <v>0.15167737330478226</v>
      </c>
      <c r="N386" s="73">
        <f t="shared" si="361"/>
        <v>0.11250846473831877</v>
      </c>
      <c r="O386" s="73">
        <f t="shared" ref="O386:Y386" si="362">O384/J384-1</f>
        <v>9.9065420560747519E-2</v>
      </c>
      <c r="P386" s="73">
        <f t="shared" si="362"/>
        <v>0.11691652621307536</v>
      </c>
      <c r="Q386" s="24">
        <f t="shared" si="362"/>
        <v>0.1193935940356623</v>
      </c>
      <c r="R386" s="73">
        <f t="shared" si="362"/>
        <v>7.4239674177697168E-2</v>
      </c>
      <c r="S386" s="73">
        <f t="shared" si="362"/>
        <v>0.14795652173913032</v>
      </c>
      <c r="T386" s="73">
        <f t="shared" si="362"/>
        <v>0.18932823129251708</v>
      </c>
      <c r="U386" s="73">
        <f t="shared" si="362"/>
        <v>0.20101659915812875</v>
      </c>
      <c r="V386" s="24">
        <f t="shared" si="362"/>
        <v>0.15478677710491984</v>
      </c>
      <c r="W386" s="73">
        <f t="shared" si="362"/>
        <v>0.41580812659688471</v>
      </c>
      <c r="X386" s="73">
        <f t="shared" si="362"/>
        <v>0.30447297655569461</v>
      </c>
      <c r="Y386" s="73">
        <f t="shared" si="362"/>
        <v>0.23343938798126773</v>
      </c>
      <c r="Z386" s="73">
        <v>9.3539214389630976E-2</v>
      </c>
      <c r="AA386" s="24">
        <f t="shared" ref="AA386:AI386" si="363">AA384/V384-1</f>
        <v>0.2524475139136344</v>
      </c>
      <c r="AB386" s="73">
        <f t="shared" si="363"/>
        <v>-8.9183839795086706E-2</v>
      </c>
      <c r="AC386" s="73">
        <f t="shared" si="363"/>
        <v>-5.5455548458277826E-2</v>
      </c>
      <c r="AD386" s="73">
        <f t="shared" si="363"/>
        <v>-4.5010578790250055E-2</v>
      </c>
      <c r="AE386" s="73">
        <f t="shared" si="363"/>
        <v>-2.5610014210987853E-2</v>
      </c>
      <c r="AF386" s="24">
        <f t="shared" si="363"/>
        <v>-5.4071890536319223E-2</v>
      </c>
      <c r="AG386" s="73">
        <f t="shared" si="363"/>
        <v>2.2625591205419848E-2</v>
      </c>
      <c r="AH386" s="73">
        <f t="shared" si="363"/>
        <v>-1.6353129226607588E-2</v>
      </c>
      <c r="AI386" s="73">
        <f t="shared" si="363"/>
        <v>-2.8831562974203417E-2</v>
      </c>
      <c r="AJ386" s="73">
        <f t="shared" ref="AJ386:AS386" si="364">AJ384/AE384-1</f>
        <v>5.5048718426115695E-2</v>
      </c>
      <c r="AK386" s="24">
        <v>7.7519379844961378E-3</v>
      </c>
      <c r="AL386" s="73">
        <v>0</v>
      </c>
      <c r="AM386" s="73">
        <v>0</v>
      </c>
      <c r="AN386" s="73">
        <v>3.125E-2</v>
      </c>
      <c r="AO386" s="73">
        <v>2.9411764705882248E-2</v>
      </c>
      <c r="AP386" s="24">
        <v>1.538461538461533E-2</v>
      </c>
      <c r="AQ386" s="73">
        <v>3.125E-2</v>
      </c>
      <c r="AR386" s="73">
        <v>9.375E-2</v>
      </c>
      <c r="AS386" s="73">
        <v>6.0606060606060552E-2</v>
      </c>
      <c r="AT386" s="73">
        <v>-2.8571428571428581E-2</v>
      </c>
      <c r="AU386" s="24">
        <v>3.7878787878787845E-2</v>
      </c>
      <c r="AV386" s="73">
        <v>0</v>
      </c>
      <c r="AW386" s="73">
        <v>-5.7142857142857162E-2</v>
      </c>
      <c r="AX386" s="73">
        <v>-2.8571428571428581E-2</v>
      </c>
      <c r="AY386" s="73">
        <v>2.9411764705882248E-2</v>
      </c>
      <c r="AZ386" s="24">
        <v>-1.4598540145985384E-2</v>
      </c>
      <c r="BA386" s="73">
        <v>0.30303030303030298</v>
      </c>
    </row>
    <row r="387" spans="1:53" s="36" customFormat="1">
      <c r="A387" s="69" t="s">
        <v>43</v>
      </c>
      <c r="B387" s="37">
        <v>203.58099999999999</v>
      </c>
      <c r="C387" s="70">
        <v>54.8</v>
      </c>
      <c r="D387" s="70">
        <v>62.561999999999998</v>
      </c>
      <c r="E387" s="70">
        <v>59.095999999999997</v>
      </c>
      <c r="F387" s="70">
        <f>G387-E387-D387-C387</f>
        <v>65.06</v>
      </c>
      <c r="G387" s="37">
        <v>241.518</v>
      </c>
      <c r="H387" s="70">
        <v>60.156999999999996</v>
      </c>
      <c r="I387" s="70">
        <v>67.596000000000004</v>
      </c>
      <c r="J387" s="70">
        <v>66.364999999999995</v>
      </c>
      <c r="K387" s="70">
        <f>L387-J387-I387-H387</f>
        <v>66.694000000000003</v>
      </c>
      <c r="L387" s="37">
        <v>260.81200000000001</v>
      </c>
      <c r="M387" s="70">
        <v>61.543999999999997</v>
      </c>
      <c r="N387" s="70">
        <v>123.69499999999999</v>
      </c>
      <c r="O387" s="70">
        <v>69.542000000000002</v>
      </c>
      <c r="P387" s="70">
        <f>Q387-O387-N387-M387</f>
        <v>65.050000000000026</v>
      </c>
      <c r="Q387" s="37">
        <v>319.83100000000002</v>
      </c>
      <c r="R387" s="70">
        <v>60.853999999999999</v>
      </c>
      <c r="S387" s="70">
        <v>60.320999999999998</v>
      </c>
      <c r="T387" s="70">
        <v>61.366</v>
      </c>
      <c r="U387" s="70">
        <f>V387-T387-S387-R387</f>
        <v>58.594000000000008</v>
      </c>
      <c r="V387" s="37">
        <v>241.13499999999999</v>
      </c>
      <c r="W387" s="70">
        <v>49.576999999999998</v>
      </c>
      <c r="X387" s="70">
        <v>52.960999999999999</v>
      </c>
      <c r="Y387" s="70">
        <v>54.901000000000003</v>
      </c>
      <c r="Z387" s="70">
        <f>AA387-Y387-X387-W387</f>
        <v>61.61999999999999</v>
      </c>
      <c r="AA387" s="37">
        <v>219.059</v>
      </c>
      <c r="AB387" s="70">
        <v>55.948999999999998</v>
      </c>
      <c r="AC387" s="70">
        <v>60.225000000000001</v>
      </c>
      <c r="AD387" s="70">
        <v>54.884999999999998</v>
      </c>
      <c r="AE387" s="70">
        <f>AF387-AD387-AC387-AB387</f>
        <v>56.409000000000006</v>
      </c>
      <c r="AF387" s="37">
        <v>227.46799999999999</v>
      </c>
      <c r="AG387" s="70">
        <v>58</v>
      </c>
      <c r="AH387" s="70">
        <v>58</v>
      </c>
      <c r="AI387" s="70">
        <v>59</v>
      </c>
      <c r="AJ387" s="70">
        <f>AK387-AI387-AH387-AG387</f>
        <v>57</v>
      </c>
      <c r="AK387" s="37">
        <v>232</v>
      </c>
      <c r="AL387" s="70">
        <v>61</v>
      </c>
      <c r="AM387" s="70">
        <v>62</v>
      </c>
      <c r="AN387" s="70">
        <v>59</v>
      </c>
      <c r="AO387" s="70">
        <v>58</v>
      </c>
      <c r="AP387" s="37">
        <v>240</v>
      </c>
      <c r="AQ387" s="70">
        <v>37</v>
      </c>
      <c r="AR387" s="70">
        <v>47</v>
      </c>
      <c r="AS387" s="70">
        <v>45</v>
      </c>
      <c r="AT387" s="70">
        <v>47</v>
      </c>
      <c r="AU387" s="37">
        <v>176</v>
      </c>
      <c r="AV387" s="70">
        <v>49</v>
      </c>
      <c r="AW387" s="70">
        <v>45</v>
      </c>
      <c r="AX387" s="70">
        <v>39</v>
      </c>
      <c r="AY387" s="70">
        <v>41</v>
      </c>
      <c r="AZ387" s="37">
        <v>174</v>
      </c>
      <c r="BA387" s="70">
        <v>34</v>
      </c>
    </row>
    <row r="388" spans="1:53">
      <c r="A388" s="71" t="s">
        <v>7</v>
      </c>
      <c r="B388" s="24"/>
      <c r="C388" s="72"/>
      <c r="D388" s="72">
        <f>D387/C387-1</f>
        <v>0.14164233576642338</v>
      </c>
      <c r="E388" s="72">
        <f>E387/D387-1</f>
        <v>-5.5401042166171144E-2</v>
      </c>
      <c r="F388" s="72">
        <f>F387/E387-1</f>
        <v>0.10092053607689189</v>
      </c>
      <c r="G388" s="24"/>
      <c r="H388" s="72">
        <f>H387/F387-1</f>
        <v>-7.5361205041500234E-2</v>
      </c>
      <c r="I388" s="72">
        <f>I387/H387-1</f>
        <v>0.1236597569692639</v>
      </c>
      <c r="J388" s="72">
        <f>J387/I387-1</f>
        <v>-1.8211136753654156E-2</v>
      </c>
      <c r="K388" s="72">
        <f>K387/J387-1</f>
        <v>4.9574323815264609E-3</v>
      </c>
      <c r="L388" s="24"/>
      <c r="M388" s="72">
        <f>M387/K387-1</f>
        <v>-7.7218340480403103E-2</v>
      </c>
      <c r="N388" s="72">
        <f>N387/M387-1</f>
        <v>1.0098628623423891</v>
      </c>
      <c r="O388" s="72">
        <f>O387/N387-1</f>
        <v>-0.43779457536682964</v>
      </c>
      <c r="P388" s="72">
        <f>P387/O387-1</f>
        <v>-6.4594058266946197E-2</v>
      </c>
      <c r="Q388" s="24"/>
      <c r="R388" s="72">
        <f>R387/P387-1</f>
        <v>-6.4504227517294788E-2</v>
      </c>
      <c r="S388" s="72">
        <f>S387/R387-1</f>
        <v>-8.758668288033622E-3</v>
      </c>
      <c r="T388" s="72">
        <f>T387/S387-1</f>
        <v>1.7323983355713723E-2</v>
      </c>
      <c r="U388" s="72">
        <f>U387/T387-1</f>
        <v>-4.5171593390476716E-2</v>
      </c>
      <c r="V388" s="24"/>
      <c r="W388" s="72">
        <f>W387/U387-1</f>
        <v>-0.15388947673823272</v>
      </c>
      <c r="X388" s="72">
        <f>X387/W387-1</f>
        <v>6.8257458095487777E-2</v>
      </c>
      <c r="Y388" s="72">
        <f>Y387/X387-1</f>
        <v>3.6630728271747293E-2</v>
      </c>
      <c r="Z388" s="72">
        <v>0.12238392743301563</v>
      </c>
      <c r="AA388" s="24"/>
      <c r="AB388" s="72">
        <f>AB387/Z387-1</f>
        <v>-9.2031807854592529E-2</v>
      </c>
      <c r="AC388" s="72">
        <f>AC387/AB387-1</f>
        <v>7.6426745786341233E-2</v>
      </c>
      <c r="AD388" s="72">
        <f>AD387/AC387-1</f>
        <v>-8.8667496886674968E-2</v>
      </c>
      <c r="AE388" s="72">
        <f>AE387/AD387-1</f>
        <v>2.7767149494397625E-2</v>
      </c>
      <c r="AF388" s="24"/>
      <c r="AG388" s="72">
        <f>AG387/AE387-1</f>
        <v>2.8204719105107134E-2</v>
      </c>
      <c r="AH388" s="72">
        <f>AH387/AG387-1</f>
        <v>0</v>
      </c>
      <c r="AI388" s="72">
        <f>AI387/AH387-1</f>
        <v>1.7241379310344751E-2</v>
      </c>
      <c r="AJ388" s="72">
        <f>AJ387/AI387-1</f>
        <v>-3.3898305084745783E-2</v>
      </c>
      <c r="AK388" s="24"/>
      <c r="AL388" s="72">
        <v>6.1502017897876904E-2</v>
      </c>
      <c r="AM388" s="72">
        <v>1.6393442622950838E-2</v>
      </c>
      <c r="AN388" s="72">
        <v>-4.8387096774193505E-2</v>
      </c>
      <c r="AO388" s="72">
        <v>-1.6949152542372836E-2</v>
      </c>
      <c r="AP388" s="24"/>
      <c r="AQ388" s="72">
        <v>-0.36206896551724133</v>
      </c>
      <c r="AR388" s="72">
        <v>0.27027027027027017</v>
      </c>
      <c r="AS388" s="72">
        <v>-4.2553191489361653E-2</v>
      </c>
      <c r="AT388" s="72">
        <v>4.4444444444444509E-2</v>
      </c>
      <c r="AU388" s="24"/>
      <c r="AV388" s="72">
        <v>4.2553191489361764E-2</v>
      </c>
      <c r="AW388" s="72">
        <v>-8.1632653061224469E-2</v>
      </c>
      <c r="AX388" s="72">
        <v>-0.1333333333333333</v>
      </c>
      <c r="AY388" s="72">
        <v>5.1282051282051322E-2</v>
      </c>
      <c r="AZ388" s="24"/>
      <c r="BA388" s="72">
        <v>-0.17073170731707321</v>
      </c>
    </row>
    <row r="389" spans="1:53">
      <c r="A389" s="71" t="s">
        <v>8</v>
      </c>
      <c r="B389" s="24"/>
      <c r="C389" s="73"/>
      <c r="D389" s="73"/>
      <c r="E389" s="73"/>
      <c r="F389" s="73"/>
      <c r="G389" s="24">
        <f t="shared" ref="G389:N389" si="365">G387/B387-1</f>
        <v>0.18634843133691259</v>
      </c>
      <c r="H389" s="73">
        <f t="shared" si="365"/>
        <v>9.7755474452554836E-2</v>
      </c>
      <c r="I389" s="73">
        <f t="shared" si="365"/>
        <v>8.0464179533902502E-2</v>
      </c>
      <c r="J389" s="73">
        <f t="shared" si="365"/>
        <v>0.12300324895085968</v>
      </c>
      <c r="K389" s="73">
        <f t="shared" si="365"/>
        <v>2.5115278204734137E-2</v>
      </c>
      <c r="L389" s="24">
        <f t="shared" si="365"/>
        <v>7.988638527977221E-2</v>
      </c>
      <c r="M389" s="73">
        <f t="shared" si="365"/>
        <v>2.3056335921006754E-2</v>
      </c>
      <c r="N389" s="73">
        <f t="shared" si="365"/>
        <v>0.82991597135925188</v>
      </c>
      <c r="O389" s="73">
        <f>O387/J387-1</f>
        <v>4.7871619076320426E-2</v>
      </c>
      <c r="P389" s="73">
        <v>-1.4999999999999999E-2</v>
      </c>
      <c r="Q389" s="24">
        <f t="shared" ref="Q389:Y389" si="366">Q387/L387-1</f>
        <v>0.22628943453522088</v>
      </c>
      <c r="R389" s="73">
        <f t="shared" si="366"/>
        <v>-1.1211490965813087E-2</v>
      </c>
      <c r="S389" s="73">
        <f t="shared" si="366"/>
        <v>-0.51234083835239908</v>
      </c>
      <c r="T389" s="73">
        <f t="shared" si="366"/>
        <v>-0.11756923873342728</v>
      </c>
      <c r="U389" s="73">
        <f t="shared" si="366"/>
        <v>-9.9246733282090882E-2</v>
      </c>
      <c r="V389" s="24">
        <f t="shared" si="366"/>
        <v>-0.24605494776929071</v>
      </c>
      <c r="W389" s="73">
        <f t="shared" si="366"/>
        <v>-0.185312387024682</v>
      </c>
      <c r="X389" s="73">
        <f t="shared" si="366"/>
        <v>-0.1220138923426336</v>
      </c>
      <c r="Y389" s="73">
        <f t="shared" si="366"/>
        <v>-0.10535149757194529</v>
      </c>
      <c r="Z389" s="73">
        <v>5.1643512987677553E-2</v>
      </c>
      <c r="AA389" s="24">
        <f t="shared" ref="AA389:AI389" si="367">AA387/V387-1</f>
        <v>-9.1550376345200801E-2</v>
      </c>
      <c r="AB389" s="73">
        <f t="shared" si="367"/>
        <v>0.12852734130746102</v>
      </c>
      <c r="AC389" s="73">
        <f t="shared" si="367"/>
        <v>0.13715753101338723</v>
      </c>
      <c r="AD389" s="73">
        <f t="shared" si="367"/>
        <v>-2.9143367151795996E-4</v>
      </c>
      <c r="AE389" s="73">
        <f t="shared" si="367"/>
        <v>-8.4566699123660882E-2</v>
      </c>
      <c r="AF389" s="24">
        <f t="shared" si="367"/>
        <v>3.838691859270793E-2</v>
      </c>
      <c r="AG389" s="73">
        <f t="shared" si="367"/>
        <v>3.6658385315197828E-2</v>
      </c>
      <c r="AH389" s="73">
        <f t="shared" si="367"/>
        <v>-3.6944790369447977E-2</v>
      </c>
      <c r="AI389" s="73">
        <f t="shared" si="367"/>
        <v>7.4974947617746146E-2</v>
      </c>
      <c r="AJ389" s="73">
        <f>AJ387/AE387-1</f>
        <v>1.047705153432954E-2</v>
      </c>
      <c r="AK389" s="24">
        <v>1.9923681572792784E-2</v>
      </c>
      <c r="AL389" s="73">
        <v>3.9004534212695896E-2</v>
      </c>
      <c r="AM389" s="73">
        <v>6.8965517241379226E-2</v>
      </c>
      <c r="AN389" s="73">
        <v>0</v>
      </c>
      <c r="AO389" s="73">
        <v>1.7543859649122862E-2</v>
      </c>
      <c r="AP389" s="24">
        <v>3.4482758620689724E-2</v>
      </c>
      <c r="AQ389" s="73">
        <v>-0.39344262295081966</v>
      </c>
      <c r="AR389" s="73">
        <v>-0.24193548387096775</v>
      </c>
      <c r="AS389" s="73">
        <v>-0.23728813559322037</v>
      </c>
      <c r="AT389" s="73">
        <v>-0.18965517241379315</v>
      </c>
      <c r="AU389" s="24">
        <v>-0.26666666666666672</v>
      </c>
      <c r="AV389" s="73">
        <v>0.32432432432432434</v>
      </c>
      <c r="AW389" s="73">
        <v>-4.2553191489361653E-2</v>
      </c>
      <c r="AX389" s="73">
        <v>-0.1333333333333333</v>
      </c>
      <c r="AY389" s="73">
        <v>-0.12765957446808507</v>
      </c>
      <c r="AZ389" s="24">
        <v>-1.1363636363636354E-2</v>
      </c>
      <c r="BA389" s="73">
        <v>-0.30612244897959184</v>
      </c>
    </row>
    <row r="390" spans="1:53" s="36" customFormat="1">
      <c r="A390" s="69" t="s">
        <v>42</v>
      </c>
      <c r="B390" s="37">
        <v>153.02000000000001</v>
      </c>
      <c r="C390" s="70">
        <v>41.5</v>
      </c>
      <c r="D390" s="70">
        <v>47.055999999999997</v>
      </c>
      <c r="E390" s="70">
        <v>44.006</v>
      </c>
      <c r="F390" s="70">
        <f>G390-E390-D390-C390</f>
        <v>45.786999999999992</v>
      </c>
      <c r="G390" s="37">
        <v>178.34899999999999</v>
      </c>
      <c r="H390" s="70">
        <v>44.088999999999999</v>
      </c>
      <c r="I390" s="70">
        <v>55.793999999999997</v>
      </c>
      <c r="J390" s="70">
        <v>50.698999999999998</v>
      </c>
      <c r="K390" s="70">
        <f>L390-J390-I390-H390</f>
        <v>49.417999999999992</v>
      </c>
      <c r="L390" s="37">
        <v>200</v>
      </c>
      <c r="M390" s="70">
        <v>46.469000000000001</v>
      </c>
      <c r="N390" s="70">
        <v>108.223</v>
      </c>
      <c r="O390" s="70">
        <v>53.423000000000002</v>
      </c>
      <c r="P390" s="70">
        <f>Q390-O390-N390-M390</f>
        <v>45.856000000000002</v>
      </c>
      <c r="Q390" s="37">
        <v>253.971</v>
      </c>
      <c r="R390" s="70">
        <v>45.963999999999999</v>
      </c>
      <c r="S390" s="70">
        <v>46.347000000000001</v>
      </c>
      <c r="T390" s="70">
        <v>45.918999999999997</v>
      </c>
      <c r="U390" s="70">
        <f>V390-T390-S390-R390</f>
        <v>43.99199999999999</v>
      </c>
      <c r="V390" s="37">
        <v>182.22200000000001</v>
      </c>
      <c r="W390" s="70">
        <v>35.805</v>
      </c>
      <c r="X390" s="70">
        <v>38.872999999999998</v>
      </c>
      <c r="Y390" s="70">
        <v>40.29</v>
      </c>
      <c r="Z390" s="70">
        <f>AA390-Y390-X390-W390</f>
        <v>44.630000000000031</v>
      </c>
      <c r="AA390" s="37">
        <v>159.59800000000001</v>
      </c>
      <c r="AB390" s="70">
        <v>37.485999999999997</v>
      </c>
      <c r="AC390" s="70">
        <v>43.552999999999997</v>
      </c>
      <c r="AD390" s="70">
        <v>38.768999999999998</v>
      </c>
      <c r="AE390" s="70">
        <f>AF390-AD390-AC390-AB390</f>
        <v>38.378000000000007</v>
      </c>
      <c r="AF390" s="37">
        <f>158.186</f>
        <v>158.18600000000001</v>
      </c>
      <c r="AG390" s="70">
        <v>42</v>
      </c>
      <c r="AH390" s="70">
        <v>41</v>
      </c>
      <c r="AI390" s="70">
        <v>42</v>
      </c>
      <c r="AJ390" s="70">
        <f>AK390-AI390-AH390-AG390</f>
        <v>40</v>
      </c>
      <c r="AK390" s="37">
        <v>165</v>
      </c>
      <c r="AL390" s="70">
        <v>44</v>
      </c>
      <c r="AM390" s="70">
        <v>45</v>
      </c>
      <c r="AN390" s="70">
        <v>41</v>
      </c>
      <c r="AO390" s="70">
        <v>42</v>
      </c>
      <c r="AP390" s="37">
        <v>172</v>
      </c>
      <c r="AQ390" s="70">
        <v>26</v>
      </c>
      <c r="AR390" s="70">
        <v>33</v>
      </c>
      <c r="AS390" s="70">
        <v>33</v>
      </c>
      <c r="AT390" s="70">
        <v>33</v>
      </c>
      <c r="AU390" s="37">
        <v>125</v>
      </c>
      <c r="AV390" s="70">
        <v>36</v>
      </c>
      <c r="AW390" s="70">
        <v>33</v>
      </c>
      <c r="AX390" s="70">
        <v>27</v>
      </c>
      <c r="AY390" s="70">
        <v>31</v>
      </c>
      <c r="AZ390" s="37">
        <v>127</v>
      </c>
      <c r="BA390" s="70">
        <v>24</v>
      </c>
    </row>
    <row r="391" spans="1:53">
      <c r="A391" s="71" t="s">
        <v>7</v>
      </c>
      <c r="B391" s="24"/>
      <c r="C391" s="72"/>
      <c r="D391" s="72">
        <f>D390/C390-1</f>
        <v>0.13387951807228915</v>
      </c>
      <c r="E391" s="72">
        <f>E390/D390-1</f>
        <v>-6.4816388983338968E-2</v>
      </c>
      <c r="F391" s="72">
        <f>F390/E390-1</f>
        <v>4.0471753851747394E-2</v>
      </c>
      <c r="G391" s="24"/>
      <c r="H391" s="72">
        <f>H390/F390-1</f>
        <v>-3.7084762050363484E-2</v>
      </c>
      <c r="I391" s="72">
        <f>I390/H390-1</f>
        <v>0.26548572206219245</v>
      </c>
      <c r="J391" s="72">
        <f>J390/I390-1</f>
        <v>-9.1318062874144124E-2</v>
      </c>
      <c r="K391" s="72">
        <f>K390/J390-1</f>
        <v>-2.5266770547742623E-2</v>
      </c>
      <c r="L391" s="24"/>
      <c r="M391" s="72">
        <f>M390/K390-1</f>
        <v>-5.9674612489376222E-2</v>
      </c>
      <c r="N391" s="72">
        <f>N390/M390-1</f>
        <v>1.3289289633949513</v>
      </c>
      <c r="O391" s="72">
        <f>O390/N390-1</f>
        <v>-0.50636186392910931</v>
      </c>
      <c r="P391" s="72">
        <f>P390/O390-1</f>
        <v>-0.14164311251708062</v>
      </c>
      <c r="Q391" s="24"/>
      <c r="R391" s="72">
        <f>R390/P390-1</f>
        <v>2.3551988834611404E-3</v>
      </c>
      <c r="S391" s="72">
        <f>S390/R390-1</f>
        <v>8.3326081281003272E-3</v>
      </c>
      <c r="T391" s="72">
        <f>T390/S390-1</f>
        <v>-9.2346861717048645E-3</v>
      </c>
      <c r="U391" s="72">
        <f>U390/T390-1</f>
        <v>-4.1965199590583535E-2</v>
      </c>
      <c r="V391" s="24"/>
      <c r="W391" s="72">
        <f>W390/U390-1</f>
        <v>-0.18610201854882691</v>
      </c>
      <c r="X391" s="72">
        <f>X390/W390-1</f>
        <v>8.5686356654098628E-2</v>
      </c>
      <c r="Y391" s="72">
        <f>Y390/X390-1</f>
        <v>3.6452036117613718E-2</v>
      </c>
      <c r="Z391" s="72">
        <v>0.10771903698188212</v>
      </c>
      <c r="AA391" s="24"/>
      <c r="AB391" s="72">
        <f>AB390/Z390-1</f>
        <v>-0.16007170064978782</v>
      </c>
      <c r="AC391" s="72">
        <f>AC390/AB390-1</f>
        <v>0.16184708958010985</v>
      </c>
      <c r="AD391" s="72">
        <f>AD390/AC390-1</f>
        <v>-0.10984317957431178</v>
      </c>
      <c r="AE391" s="72">
        <f>AE390/AD390-1</f>
        <v>-1.0085377492326075E-2</v>
      </c>
      <c r="AF391" s="24"/>
      <c r="AG391" s="72">
        <f>AG390/AE390-1</f>
        <v>9.4376986815362773E-2</v>
      </c>
      <c r="AH391" s="72">
        <f>AH390/AG390-1</f>
        <v>-2.3809523809523836E-2</v>
      </c>
      <c r="AI391" s="72">
        <f>AI390/AH390-1</f>
        <v>2.4390243902439046E-2</v>
      </c>
      <c r="AJ391" s="72">
        <f>AJ390/AI390-1</f>
        <v>-4.7619047619047672E-2</v>
      </c>
      <c r="AK391" s="24"/>
      <c r="AL391" s="72">
        <v>0.10000000000000009</v>
      </c>
      <c r="AM391" s="72">
        <v>2.2727272727272707E-2</v>
      </c>
      <c r="AN391" s="72">
        <v>-8.8888888888888906E-2</v>
      </c>
      <c r="AO391" s="72">
        <v>2.4390243902439046E-2</v>
      </c>
      <c r="AP391" s="24"/>
      <c r="AQ391" s="72">
        <v>-0.38095238095238093</v>
      </c>
      <c r="AR391" s="72">
        <v>0.26923076923076916</v>
      </c>
      <c r="AS391" s="72">
        <v>0</v>
      </c>
      <c r="AT391" s="72">
        <v>0</v>
      </c>
      <c r="AU391" s="24"/>
      <c r="AV391" s="72">
        <v>9.0909090909090828E-2</v>
      </c>
      <c r="AW391" s="72">
        <v>-8.333333333333337E-2</v>
      </c>
      <c r="AX391" s="72">
        <v>-0.18181818181818177</v>
      </c>
      <c r="AY391" s="72">
        <v>0.14814814814814814</v>
      </c>
      <c r="AZ391" s="24"/>
      <c r="BA391" s="72">
        <v>-0.22580645161290325</v>
      </c>
    </row>
    <row r="392" spans="1:53">
      <c r="A392" s="71" t="s">
        <v>8</v>
      </c>
      <c r="B392" s="24"/>
      <c r="C392" s="73"/>
      <c r="D392" s="73"/>
      <c r="E392" s="73"/>
      <c r="F392" s="73"/>
      <c r="G392" s="24">
        <f t="shared" ref="G392:N392" si="368">G390/B390-1</f>
        <v>0.16552738204156303</v>
      </c>
      <c r="H392" s="73">
        <f t="shared" si="368"/>
        <v>6.2385542168674757E-2</v>
      </c>
      <c r="I392" s="73">
        <f t="shared" si="368"/>
        <v>0.18569364161849711</v>
      </c>
      <c r="J392" s="73">
        <f t="shared" si="368"/>
        <v>0.15209289642321489</v>
      </c>
      <c r="K392" s="73">
        <f t="shared" si="368"/>
        <v>7.9301985279664589E-2</v>
      </c>
      <c r="L392" s="24">
        <f t="shared" si="368"/>
        <v>0.12139681186886397</v>
      </c>
      <c r="M392" s="73">
        <f t="shared" si="368"/>
        <v>5.3981718796071609E-2</v>
      </c>
      <c r="N392" s="73">
        <f t="shared" si="368"/>
        <v>0.93968885543248382</v>
      </c>
      <c r="O392" s="73">
        <f t="shared" ref="O392:Y392" si="369">O390/J390-1</f>
        <v>5.372887039192098E-2</v>
      </c>
      <c r="P392" s="73">
        <f t="shared" si="369"/>
        <v>-7.2078999554817891E-2</v>
      </c>
      <c r="Q392" s="24">
        <f t="shared" si="369"/>
        <v>0.26985499999999996</v>
      </c>
      <c r="R392" s="73">
        <f t="shared" si="369"/>
        <v>-1.0867460027114917E-2</v>
      </c>
      <c r="S392" s="73">
        <f t="shared" si="369"/>
        <v>-0.5717453775999557</v>
      </c>
      <c r="T392" s="73">
        <f t="shared" si="369"/>
        <v>-0.14046384516032429</v>
      </c>
      <c r="U392" s="73">
        <f t="shared" si="369"/>
        <v>-4.0648988136776198E-2</v>
      </c>
      <c r="V392" s="24">
        <f t="shared" si="369"/>
        <v>-0.28250863287540706</v>
      </c>
      <c r="W392" s="73">
        <f t="shared" si="369"/>
        <v>-0.22102079888608472</v>
      </c>
      <c r="X392" s="73">
        <f t="shared" si="369"/>
        <v>-0.16126178609187225</v>
      </c>
      <c r="Y392" s="73">
        <f t="shared" si="369"/>
        <v>-0.12258542215640578</v>
      </c>
      <c r="Z392" s="73">
        <v>1.450263684306341E-2</v>
      </c>
      <c r="AA392" s="24">
        <f t="shared" ref="AA392:AI392" si="370">AA390/V390-1</f>
        <v>-0.12415624897103528</v>
      </c>
      <c r="AB392" s="73">
        <f t="shared" si="370"/>
        <v>4.6948750174556464E-2</v>
      </c>
      <c r="AC392" s="73">
        <f t="shared" si="370"/>
        <v>0.12039204589303631</v>
      </c>
      <c r="AD392" s="73">
        <f t="shared" si="370"/>
        <v>-3.775130305286678E-2</v>
      </c>
      <c r="AE392" s="73">
        <f t="shared" si="370"/>
        <v>-0.14008514452162268</v>
      </c>
      <c r="AF392" s="24">
        <f t="shared" si="370"/>
        <v>-8.8472286620133733E-3</v>
      </c>
      <c r="AG392" s="73">
        <f t="shared" si="370"/>
        <v>0.12041828949474476</v>
      </c>
      <c r="AH392" s="73">
        <f t="shared" si="370"/>
        <v>-5.8618235253598994E-2</v>
      </c>
      <c r="AI392" s="73">
        <f t="shared" si="370"/>
        <v>8.3339781784415479E-2</v>
      </c>
      <c r="AJ392" s="73">
        <f t="shared" ref="AJ392:AS392" si="371">AJ390/AE390-1</f>
        <v>4.2263796967012102E-2</v>
      </c>
      <c r="AK392" s="24">
        <v>4.3075872706813456E-2</v>
      </c>
      <c r="AL392" s="73">
        <v>4.7619047619047672E-2</v>
      </c>
      <c r="AM392" s="73">
        <v>9.7560975609756184E-2</v>
      </c>
      <c r="AN392" s="73">
        <v>-2.3809523809523836E-2</v>
      </c>
      <c r="AO392" s="73">
        <v>5.0000000000000044E-2</v>
      </c>
      <c r="AP392" s="24">
        <v>4.2424242424242475E-2</v>
      </c>
      <c r="AQ392" s="73">
        <v>-0.40909090909090906</v>
      </c>
      <c r="AR392" s="73">
        <v>-0.26666666666666672</v>
      </c>
      <c r="AS392" s="73">
        <v>-0.19512195121951215</v>
      </c>
      <c r="AT392" s="73">
        <v>-0.2142857142857143</v>
      </c>
      <c r="AU392" s="24">
        <v>-0.27325581395348841</v>
      </c>
      <c r="AV392" s="73">
        <v>0.38461538461538458</v>
      </c>
      <c r="AW392" s="73">
        <v>0</v>
      </c>
      <c r="AX392" s="73">
        <v>-0.18181818181818177</v>
      </c>
      <c r="AY392" s="73">
        <v>-6.0606060606060552E-2</v>
      </c>
      <c r="AZ392" s="24">
        <v>1.6000000000000014E-2</v>
      </c>
      <c r="BA392" s="73">
        <v>-0.33333333333333337</v>
      </c>
    </row>
    <row r="393" spans="1:53" s="36" customFormat="1">
      <c r="A393" s="69" t="s">
        <v>273</v>
      </c>
      <c r="B393" s="37">
        <f>B384+B387</f>
        <v>290.178</v>
      </c>
      <c r="C393" s="77">
        <f>C384+C387</f>
        <v>74.8</v>
      </c>
      <c r="D393" s="77">
        <f>D384+D387</f>
        <v>82.878999999999991</v>
      </c>
      <c r="E393" s="77">
        <f>E384+E387</f>
        <v>79</v>
      </c>
      <c r="F393" s="70">
        <f>G393-E393-D393-C393</f>
        <v>84.921000000000035</v>
      </c>
      <c r="G393" s="37">
        <f>G384+G387</f>
        <v>321.60000000000002</v>
      </c>
      <c r="H393" s="77">
        <f>H384+H387</f>
        <v>79.771000000000001</v>
      </c>
      <c r="I393" s="77">
        <f>I384+I387</f>
        <v>88.27000000000001</v>
      </c>
      <c r="J393" s="77">
        <f>J384+J387</f>
        <v>87.765000000000001</v>
      </c>
      <c r="K393" s="70">
        <f>L393-J393-I393-H393</f>
        <v>89.240000000000052</v>
      </c>
      <c r="L393" s="37">
        <f>L384+L387</f>
        <v>345.04600000000005</v>
      </c>
      <c r="M393" s="77">
        <f>M384+M387</f>
        <v>84.132999999999996</v>
      </c>
      <c r="N393" s="77">
        <f>N384+N387</f>
        <v>146.69499999999999</v>
      </c>
      <c r="O393" s="77">
        <f>O384+O387</f>
        <v>93.061999999999998</v>
      </c>
      <c r="P393" s="70">
        <v>90</v>
      </c>
      <c r="Q393" s="37">
        <f>Q384+Q387</f>
        <v>414.12200000000001</v>
      </c>
      <c r="R393" s="77">
        <f>R384+R387</f>
        <v>85.12</v>
      </c>
      <c r="S393" s="77">
        <f>S384+S387</f>
        <v>86.72399999999999</v>
      </c>
      <c r="T393" s="77">
        <f>T384+T387</f>
        <v>89.338999999999999</v>
      </c>
      <c r="U393" s="70">
        <f>V393-T393-S393-R393</f>
        <v>88.837999999999965</v>
      </c>
      <c r="V393" s="37">
        <f>V384+V387</f>
        <v>350.02099999999996</v>
      </c>
      <c r="W393" s="77">
        <f>W384+W387</f>
        <v>83.932999999999993</v>
      </c>
      <c r="X393" s="77">
        <f>X384+X387</f>
        <v>87.402999999999992</v>
      </c>
      <c r="Y393" s="77">
        <f>Y384+Y387</f>
        <v>89.403999999999996</v>
      </c>
      <c r="Z393" s="70">
        <f>AA393-Y393-X393-W393</f>
        <v>94.693000000000012</v>
      </c>
      <c r="AA393" s="37">
        <f>AA384+AA387</f>
        <v>355.43299999999999</v>
      </c>
      <c r="AB393" s="77">
        <f>AB384+AB387</f>
        <v>87.241</v>
      </c>
      <c r="AC393" s="77">
        <f>AC384+AC387</f>
        <v>92.757000000000005</v>
      </c>
      <c r="AD393" s="77">
        <f>AD384+AD387</f>
        <v>87.835000000000008</v>
      </c>
      <c r="AE393" s="70">
        <f>AF393-AD393-AC393-AB393</f>
        <v>88.63499999999992</v>
      </c>
      <c r="AF393" s="37">
        <f>AF384+AF387</f>
        <v>356.46799999999996</v>
      </c>
      <c r="AG393" s="77">
        <f>AG384+AG387</f>
        <v>90</v>
      </c>
      <c r="AH393" s="77">
        <f>AH384+AH387</f>
        <v>90</v>
      </c>
      <c r="AI393" s="77">
        <f>AI384+AI387</f>
        <v>91</v>
      </c>
      <c r="AJ393" s="70">
        <f>AK393-AI393-AH393-AG393</f>
        <v>91</v>
      </c>
      <c r="AK393" s="37">
        <v>362</v>
      </c>
      <c r="AL393" s="77">
        <v>93</v>
      </c>
      <c r="AM393" s="77">
        <v>94</v>
      </c>
      <c r="AN393" s="77">
        <v>92</v>
      </c>
      <c r="AO393" s="70">
        <v>93</v>
      </c>
      <c r="AP393" s="37">
        <v>372</v>
      </c>
      <c r="AQ393" s="77">
        <v>70</v>
      </c>
      <c r="AR393" s="77">
        <v>82</v>
      </c>
      <c r="AS393" s="77">
        <v>80</v>
      </c>
      <c r="AT393" s="70">
        <v>81</v>
      </c>
      <c r="AU393" s="37">
        <v>313</v>
      </c>
      <c r="AV393" s="77">
        <v>82</v>
      </c>
      <c r="AW393" s="77">
        <v>78</v>
      </c>
      <c r="AX393" s="77">
        <v>73</v>
      </c>
      <c r="AY393" s="70">
        <v>76</v>
      </c>
      <c r="AZ393" s="37">
        <v>309</v>
      </c>
      <c r="BA393" s="77">
        <v>77</v>
      </c>
    </row>
    <row r="394" spans="1:53">
      <c r="A394" s="71" t="s">
        <v>7</v>
      </c>
      <c r="B394" s="24"/>
      <c r="C394" s="72"/>
      <c r="D394" s="72">
        <f>D393/C393-1</f>
        <v>0.10800802139037424</v>
      </c>
      <c r="E394" s="72">
        <f>E393/D393-1</f>
        <v>-4.6803170887679491E-2</v>
      </c>
      <c r="F394" s="72">
        <f>F393/E393-1</f>
        <v>7.494936708860811E-2</v>
      </c>
      <c r="G394" s="24"/>
      <c r="H394" s="72">
        <f>H393/F393-1</f>
        <v>-6.0644599097985585E-2</v>
      </c>
      <c r="I394" s="72">
        <f>I393/H393-1</f>
        <v>0.10654247784282522</v>
      </c>
      <c r="J394" s="72">
        <f>J393/I393-1</f>
        <v>-5.7210830406707602E-3</v>
      </c>
      <c r="K394" s="72">
        <f>K393/J393-1</f>
        <v>1.6806243946904331E-2</v>
      </c>
      <c r="L394" s="24"/>
      <c r="M394" s="72">
        <f>M393/K393-1</f>
        <v>-5.7227700582698993E-2</v>
      </c>
      <c r="N394" s="72">
        <f>N393/M393-1</f>
        <v>0.7436083344228781</v>
      </c>
      <c r="O394" s="72">
        <f>O393/N393-1</f>
        <v>-0.36560891645932037</v>
      </c>
      <c r="P394" s="72">
        <f>P393/O393-1</f>
        <v>-3.2902795985472078E-2</v>
      </c>
      <c r="Q394" s="24"/>
      <c r="R394" s="72">
        <f>R393/P393-1</f>
        <v>-5.4222222222222172E-2</v>
      </c>
      <c r="S394" s="72">
        <f>S393/R393-1</f>
        <v>1.8843984962405802E-2</v>
      </c>
      <c r="T394" s="72">
        <f>T393/S393-1</f>
        <v>3.0153129468198037E-2</v>
      </c>
      <c r="U394" s="72">
        <f>U393/T393-1</f>
        <v>-5.607853233190796E-3</v>
      </c>
      <c r="V394" s="24"/>
      <c r="W394" s="72">
        <f>W393/U393-1</f>
        <v>-5.5212859361984501E-2</v>
      </c>
      <c r="X394" s="72">
        <f>X393/W393-1</f>
        <v>4.1342499374501074E-2</v>
      </c>
      <c r="Y394" s="72">
        <f>Y393/X393-1</f>
        <v>2.2893951008546631E-2</v>
      </c>
      <c r="Z394" s="72">
        <v>5.9158426916021911E-2</v>
      </c>
      <c r="AA394" s="24"/>
      <c r="AB394" s="72">
        <f>AB393/Z393-1</f>
        <v>-7.8696418953882685E-2</v>
      </c>
      <c r="AC394" s="72">
        <f>AC393/AB393-1</f>
        <v>6.3227152371018169E-2</v>
      </c>
      <c r="AD394" s="72">
        <f>AD393/AC393-1</f>
        <v>-5.3063380661297788E-2</v>
      </c>
      <c r="AE394" s="72">
        <f>AE393/AD393-1</f>
        <v>9.107986565718873E-3</v>
      </c>
      <c r="AF394" s="24"/>
      <c r="AG394" s="72">
        <f>AG393/AE393-1</f>
        <v>1.5400236926722766E-2</v>
      </c>
      <c r="AH394" s="72">
        <f>AH393/AG393-1</f>
        <v>0</v>
      </c>
      <c r="AI394" s="72">
        <f>AI393/AH393-1</f>
        <v>1.1111111111111072E-2</v>
      </c>
      <c r="AJ394" s="72">
        <f>AJ393/AI393-1</f>
        <v>0</v>
      </c>
      <c r="AK394" s="24"/>
      <c r="AL394" s="72">
        <v>2.19780219780219E-2</v>
      </c>
      <c r="AM394" s="72">
        <v>1.0752688172043001E-2</v>
      </c>
      <c r="AN394" s="72">
        <v>-2.1276595744680882E-2</v>
      </c>
      <c r="AO394" s="72">
        <v>1.0869565217391353E-2</v>
      </c>
      <c r="AP394" s="24"/>
      <c r="AQ394" s="72">
        <v>-0.24731182795698925</v>
      </c>
      <c r="AR394" s="72">
        <v>0.17142857142857149</v>
      </c>
      <c r="AS394" s="72">
        <v>-2.4390243902439046E-2</v>
      </c>
      <c r="AT394" s="72">
        <v>1.2499999999999956E-2</v>
      </c>
      <c r="AU394" s="24"/>
      <c r="AV394" s="72">
        <v>1.2345679012345734E-2</v>
      </c>
      <c r="AW394" s="72">
        <v>-4.8780487804878092E-2</v>
      </c>
      <c r="AX394" s="72">
        <v>-6.4102564102564097E-2</v>
      </c>
      <c r="AY394" s="72">
        <v>4.1095890410958846E-2</v>
      </c>
      <c r="AZ394" s="24"/>
      <c r="BA394" s="72">
        <v>1.3157894736842035E-2</v>
      </c>
    </row>
    <row r="395" spans="1:53">
      <c r="A395" s="71" t="s">
        <v>8</v>
      </c>
      <c r="B395" s="24"/>
      <c r="C395" s="73"/>
      <c r="D395" s="73"/>
      <c r="E395" s="73"/>
      <c r="F395" s="73"/>
      <c r="G395" s="24">
        <f t="shared" ref="G395:N395" si="372">G393/B393-1</f>
        <v>0.10828525939251099</v>
      </c>
      <c r="H395" s="73">
        <f t="shared" si="372"/>
        <v>6.6457219251336852E-2</v>
      </c>
      <c r="I395" s="73">
        <f t="shared" si="372"/>
        <v>6.5046634249930957E-2</v>
      </c>
      <c r="J395" s="73">
        <f t="shared" si="372"/>
        <v>0.1109493670886077</v>
      </c>
      <c r="K395" s="73">
        <f t="shared" si="372"/>
        <v>5.085903369013578E-2</v>
      </c>
      <c r="L395" s="24">
        <f t="shared" si="372"/>
        <v>7.2904228855721565E-2</v>
      </c>
      <c r="M395" s="73">
        <f t="shared" si="372"/>
        <v>5.4681525867796399E-2</v>
      </c>
      <c r="N395" s="73">
        <f t="shared" si="372"/>
        <v>0.66188965673501721</v>
      </c>
      <c r="O395" s="73">
        <f>O393/J393-1</f>
        <v>6.0354355380846547E-2</v>
      </c>
      <c r="P395" s="73">
        <v>0.01</v>
      </c>
      <c r="Q395" s="24">
        <f t="shared" ref="Q395:Y395" si="373">Q393/L393-1</f>
        <v>0.20019359737542231</v>
      </c>
      <c r="R395" s="73">
        <f t="shared" si="373"/>
        <v>1.1731425243364679E-2</v>
      </c>
      <c r="S395" s="73">
        <f t="shared" si="373"/>
        <v>-0.40881420634650134</v>
      </c>
      <c r="T395" s="73">
        <f t="shared" si="373"/>
        <v>-4.0005587672734322E-2</v>
      </c>
      <c r="U395" s="73">
        <f t="shared" si="373"/>
        <v>-1.291111111111154E-2</v>
      </c>
      <c r="V395" s="24">
        <f t="shared" si="373"/>
        <v>-0.15478771956090243</v>
      </c>
      <c r="W395" s="73">
        <f t="shared" si="373"/>
        <v>-1.3945018796992614E-2</v>
      </c>
      <c r="X395" s="73">
        <f t="shared" si="373"/>
        <v>7.829435911627769E-3</v>
      </c>
      <c r="Y395" s="73">
        <f t="shared" si="373"/>
        <v>7.2756578873733879E-4</v>
      </c>
      <c r="Z395" s="73">
        <v>6.5906481460636712E-2</v>
      </c>
      <c r="AA395" s="24">
        <f t="shared" ref="AA395:AI395" si="374">AA393/V393-1</f>
        <v>1.5461929427091681E-2</v>
      </c>
      <c r="AB395" s="73">
        <f t="shared" si="374"/>
        <v>3.9412388452694458E-2</v>
      </c>
      <c r="AC395" s="73">
        <f t="shared" si="374"/>
        <v>6.1256478610574261E-2</v>
      </c>
      <c r="AD395" s="73">
        <f t="shared" si="374"/>
        <v>-1.7549550355688615E-2</v>
      </c>
      <c r="AE395" s="73">
        <f t="shared" si="374"/>
        <v>-6.3975161838785266E-2</v>
      </c>
      <c r="AF395" s="24">
        <f t="shared" si="374"/>
        <v>2.9119412097355912E-3</v>
      </c>
      <c r="AG395" s="73">
        <f t="shared" si="374"/>
        <v>3.1625038685938911E-2</v>
      </c>
      <c r="AH395" s="73">
        <f t="shared" si="374"/>
        <v>-2.9722824153433192E-2</v>
      </c>
      <c r="AI395" s="73">
        <f t="shared" si="374"/>
        <v>3.6033471850628995E-2</v>
      </c>
      <c r="AJ395" s="73">
        <f t="shared" ref="AJ395:AS395" si="375">AJ393/AE393-1</f>
        <v>2.6682461781464273E-2</v>
      </c>
      <c r="AK395" s="24">
        <v>1.5518924559848379E-2</v>
      </c>
      <c r="AL395" s="73">
        <v>3.3333333333333437E-2</v>
      </c>
      <c r="AM395" s="73">
        <v>4.4444444444444509E-2</v>
      </c>
      <c r="AN395" s="73">
        <v>1.098901098901095E-2</v>
      </c>
      <c r="AO395" s="73">
        <v>2.19780219780219E-2</v>
      </c>
      <c r="AP395" s="24">
        <v>2.7624309392265234E-2</v>
      </c>
      <c r="AQ395" s="73">
        <v>-0.24731182795698925</v>
      </c>
      <c r="AR395" s="73">
        <v>-0.12765957446808507</v>
      </c>
      <c r="AS395" s="73">
        <v>-0.13043478260869568</v>
      </c>
      <c r="AT395" s="73">
        <v>-0.12903225806451613</v>
      </c>
      <c r="AU395" s="24">
        <v>-0.15860215053763438</v>
      </c>
      <c r="AV395" s="73">
        <v>0.17142857142857149</v>
      </c>
      <c r="AW395" s="73">
        <v>-4.8780487804878092E-2</v>
      </c>
      <c r="AX395" s="73">
        <v>-8.7500000000000022E-2</v>
      </c>
      <c r="AY395" s="73">
        <v>-6.1728395061728447E-2</v>
      </c>
      <c r="AZ395" s="24">
        <v>-1.2779552715655007E-2</v>
      </c>
      <c r="BA395" s="73">
        <v>-6.0975609756097615E-2</v>
      </c>
    </row>
    <row r="396" spans="1:53">
      <c r="A396" s="69" t="s">
        <v>275</v>
      </c>
      <c r="B396" s="24"/>
      <c r="C396" s="73"/>
      <c r="D396" s="73"/>
      <c r="E396" s="73"/>
      <c r="F396" s="73"/>
      <c r="G396" s="24"/>
      <c r="H396" s="73"/>
      <c r="I396" s="73"/>
      <c r="J396" s="73"/>
      <c r="K396" s="73"/>
      <c r="L396" s="24"/>
      <c r="M396" s="73"/>
      <c r="N396" s="73"/>
      <c r="O396" s="73"/>
      <c r="P396" s="73"/>
      <c r="Q396" s="24"/>
      <c r="R396" s="73"/>
      <c r="S396" s="73"/>
      <c r="T396" s="73"/>
      <c r="U396" s="73"/>
      <c r="V396" s="24"/>
      <c r="W396" s="73"/>
      <c r="X396" s="73"/>
      <c r="Y396" s="73"/>
      <c r="Z396" s="73"/>
      <c r="AA396" s="24"/>
      <c r="AB396" s="73"/>
      <c r="AC396" s="73"/>
      <c r="AD396" s="73"/>
      <c r="AE396" s="73"/>
      <c r="AF396" s="24"/>
      <c r="AG396" s="73"/>
      <c r="AH396" s="73"/>
      <c r="AI396" s="73"/>
      <c r="AJ396" s="73"/>
      <c r="AK396" s="24"/>
      <c r="AL396" s="73"/>
      <c r="AM396" s="73"/>
      <c r="AN396" s="73"/>
      <c r="AO396" s="73"/>
      <c r="AP396" s="24"/>
      <c r="AQ396" s="73"/>
      <c r="AR396" s="73"/>
      <c r="AS396" s="73"/>
      <c r="AT396" s="73"/>
      <c r="AU396" s="24"/>
      <c r="AV396" s="73"/>
      <c r="AW396" s="73"/>
      <c r="AX396" s="73"/>
      <c r="AY396" s="73"/>
      <c r="AZ396" s="24"/>
      <c r="BA396" s="77">
        <v>68</v>
      </c>
    </row>
    <row r="397" spans="1:53">
      <c r="A397" s="69"/>
      <c r="B397" s="24"/>
      <c r="C397" s="73"/>
      <c r="D397" s="73"/>
      <c r="E397" s="73"/>
      <c r="F397" s="73"/>
      <c r="G397" s="24"/>
      <c r="H397" s="73"/>
      <c r="I397" s="73"/>
      <c r="J397" s="73"/>
      <c r="K397" s="73"/>
      <c r="L397" s="24"/>
      <c r="M397" s="73"/>
      <c r="N397" s="73"/>
      <c r="O397" s="73"/>
      <c r="P397" s="73"/>
      <c r="Q397" s="24"/>
      <c r="R397" s="73"/>
      <c r="S397" s="73"/>
      <c r="T397" s="73"/>
      <c r="U397" s="73"/>
      <c r="V397" s="24"/>
      <c r="W397" s="73"/>
      <c r="X397" s="73"/>
      <c r="Y397" s="73"/>
      <c r="Z397" s="73"/>
      <c r="AA397" s="24"/>
      <c r="AB397" s="73"/>
      <c r="AC397" s="73"/>
      <c r="AD397" s="73"/>
      <c r="AE397" s="73"/>
      <c r="AF397" s="24"/>
      <c r="AG397" s="73"/>
      <c r="AH397" s="73"/>
      <c r="AI397" s="73"/>
      <c r="AJ397" s="73"/>
      <c r="AK397" s="24"/>
      <c r="AL397" s="73"/>
      <c r="AM397" s="73"/>
      <c r="AN397" s="73"/>
      <c r="AO397" s="73"/>
      <c r="AP397" s="24"/>
      <c r="AQ397" s="73"/>
      <c r="AR397" s="73"/>
      <c r="AS397" s="73"/>
      <c r="AT397" s="73"/>
      <c r="AU397" s="24"/>
      <c r="AV397" s="73"/>
      <c r="AW397" s="73"/>
      <c r="AX397" s="73"/>
      <c r="AY397" s="73"/>
      <c r="AZ397" s="24"/>
      <c r="BA397" s="73"/>
    </row>
    <row r="398" spans="1:53">
      <c r="A398" s="40" t="s">
        <v>81</v>
      </c>
      <c r="B398" s="41"/>
      <c r="C398" s="49"/>
      <c r="D398" s="49"/>
      <c r="E398" s="49"/>
      <c r="F398" s="49"/>
      <c r="G398" s="41"/>
      <c r="H398" s="49"/>
      <c r="I398" s="49"/>
      <c r="J398" s="49"/>
      <c r="K398" s="49"/>
      <c r="L398" s="41"/>
      <c r="M398" s="49"/>
      <c r="N398" s="49"/>
      <c r="O398" s="49"/>
      <c r="P398" s="49"/>
      <c r="Q398" s="41"/>
      <c r="R398" s="49"/>
      <c r="S398" s="49"/>
      <c r="T398" s="49"/>
      <c r="U398" s="49"/>
      <c r="V398" s="41"/>
      <c r="W398" s="49"/>
      <c r="X398" s="49"/>
      <c r="Y398" s="49"/>
      <c r="Z398" s="49"/>
      <c r="AA398" s="41"/>
      <c r="AB398" s="49"/>
      <c r="AC398" s="49"/>
      <c r="AD398" s="49"/>
      <c r="AE398" s="49"/>
      <c r="AF398" s="41"/>
      <c r="AG398" s="49"/>
      <c r="AH398" s="49"/>
      <c r="AI398" s="49"/>
      <c r="AJ398" s="49"/>
      <c r="AK398" s="41"/>
      <c r="AL398" s="49"/>
      <c r="AM398" s="49"/>
      <c r="AN398" s="49"/>
      <c r="AO398" s="49"/>
      <c r="AP398" s="41"/>
      <c r="AQ398" s="49"/>
      <c r="AR398" s="49"/>
      <c r="AS398" s="49"/>
      <c r="AT398" s="49"/>
      <c r="AU398" s="41"/>
      <c r="AV398" s="49"/>
      <c r="AW398" s="49"/>
      <c r="AX398" s="49"/>
      <c r="AY398" s="49"/>
      <c r="AZ398" s="41"/>
      <c r="BA398" s="49"/>
    </row>
    <row r="399" spans="1:53" s="36" customFormat="1">
      <c r="A399" s="69" t="s">
        <v>12</v>
      </c>
      <c r="B399" s="37">
        <v>92.694000000000003</v>
      </c>
      <c r="C399" s="70">
        <v>7.5179999999999998</v>
      </c>
      <c r="D399" s="70">
        <v>50.93</v>
      </c>
      <c r="E399" s="70">
        <v>31.88</v>
      </c>
      <c r="F399" s="70">
        <f>G399-E399-D399-C399</f>
        <v>73.117999999999995</v>
      </c>
      <c r="G399" s="37">
        <v>163.446</v>
      </c>
      <c r="H399" s="70">
        <f>83.509</f>
        <v>83.509</v>
      </c>
      <c r="I399" s="70">
        <v>82.688000000000002</v>
      </c>
      <c r="J399" s="70">
        <v>81.460999999999999</v>
      </c>
      <c r="K399" s="70">
        <f>L399-J399-I399-H399</f>
        <v>71.909000000000006</v>
      </c>
      <c r="L399" s="37">
        <f>319.858-0.291</f>
        <v>319.56700000000001</v>
      </c>
      <c r="M399" s="70">
        <f>59.48</f>
        <v>59.48</v>
      </c>
      <c r="N399" s="70">
        <f>125.337-59.48</f>
        <v>65.856999999999999</v>
      </c>
      <c r="O399" s="70">
        <v>74.631</v>
      </c>
      <c r="P399" s="70">
        <f>Q399-O399-N399-M399</f>
        <v>90.108000000000033</v>
      </c>
      <c r="Q399" s="37">
        <f>291.87-1.794</f>
        <v>290.07600000000002</v>
      </c>
      <c r="R399" s="70">
        <f>42.049-0.051</f>
        <v>41.997999999999998</v>
      </c>
      <c r="S399" s="70">
        <f>68.191-0.075</f>
        <v>68.116</v>
      </c>
      <c r="T399" s="70">
        <f>57.303+0.147</f>
        <v>57.449999999999996</v>
      </c>
      <c r="U399" s="70">
        <f>V399-T399-S399-R399</f>
        <v>75.928000000000026</v>
      </c>
      <c r="V399" s="37">
        <f>242.86+0.632</f>
        <v>243.49200000000002</v>
      </c>
      <c r="W399" s="70">
        <f>58.496-0.079</f>
        <v>58.417000000000002</v>
      </c>
      <c r="X399" s="70">
        <f>63.904+0.307</f>
        <v>64.210999999999999</v>
      </c>
      <c r="Y399" s="70">
        <f>63.132+0.004</f>
        <v>63.135999999999996</v>
      </c>
      <c r="Z399" s="70">
        <f>AA399-Y399-X399-W399</f>
        <v>86.321999999999974</v>
      </c>
      <c r="AA399" s="37">
        <f>271.953+0.133</f>
        <v>272.08599999999996</v>
      </c>
      <c r="AB399" s="70">
        <f>58.59-0.278</f>
        <v>58.312000000000005</v>
      </c>
      <c r="AC399" s="70">
        <f>81.111+0.088</f>
        <v>81.198999999999998</v>
      </c>
      <c r="AD399" s="70">
        <f>71.669-0.179</f>
        <v>71.489999999999995</v>
      </c>
      <c r="AE399" s="70">
        <f>AF399-AD399-AC399-AB399</f>
        <v>76.723999999999933</v>
      </c>
      <c r="AF399" s="37">
        <f>288.131-0.406</f>
        <v>287.72499999999997</v>
      </c>
      <c r="AG399" s="70">
        <v>74</v>
      </c>
      <c r="AH399" s="70">
        <v>95</v>
      </c>
      <c r="AI399" s="70">
        <v>71</v>
      </c>
      <c r="AJ399" s="70">
        <f>AK399-AI399-AH399-AG399</f>
        <v>72</v>
      </c>
      <c r="AK399" s="37">
        <v>312</v>
      </c>
      <c r="AL399" s="70">
        <v>62</v>
      </c>
      <c r="AM399" s="70">
        <v>74</v>
      </c>
      <c r="AN399" s="70">
        <v>69</v>
      </c>
      <c r="AO399" s="70">
        <v>96</v>
      </c>
      <c r="AP399" s="37">
        <v>301</v>
      </c>
      <c r="AQ399" s="70">
        <v>49</v>
      </c>
      <c r="AR399" s="70">
        <v>69</v>
      </c>
      <c r="AS399" s="70">
        <v>65</v>
      </c>
      <c r="AT399" s="70">
        <v>86</v>
      </c>
      <c r="AU399" s="37">
        <v>269</v>
      </c>
      <c r="AV399" s="70">
        <v>52</v>
      </c>
      <c r="AW399" s="70">
        <v>69</v>
      </c>
      <c r="AX399" s="70">
        <v>74</v>
      </c>
      <c r="AY399" s="70">
        <v>82</v>
      </c>
      <c r="AZ399" s="37">
        <v>277</v>
      </c>
      <c r="BA399" s="70">
        <v>67</v>
      </c>
    </row>
    <row r="400" spans="1:53">
      <c r="A400" s="82" t="s">
        <v>7</v>
      </c>
      <c r="B400" s="24"/>
      <c r="C400" s="72"/>
      <c r="D400" s="72">
        <f>D399/C399-1</f>
        <v>5.7744080872572496</v>
      </c>
      <c r="E400" s="72">
        <f>E399/D399-1</f>
        <v>-0.37404280384841937</v>
      </c>
      <c r="F400" s="72">
        <f>F399/E399-1</f>
        <v>1.293538268506901</v>
      </c>
      <c r="G400" s="24"/>
      <c r="H400" s="72">
        <f>H399/F399-1</f>
        <v>0.14211274925462969</v>
      </c>
      <c r="I400" s="72">
        <f>I399/H399-1</f>
        <v>-9.8312756708857085E-3</v>
      </c>
      <c r="J400" s="72">
        <f>J399/I399-1</f>
        <v>-1.4838912538699733E-2</v>
      </c>
      <c r="K400" s="72">
        <f>K399/J399-1</f>
        <v>-0.11725856544849678</v>
      </c>
      <c r="L400" s="24"/>
      <c r="M400" s="72">
        <f>M399/K399-1</f>
        <v>-0.17284345492219344</v>
      </c>
      <c r="N400" s="72">
        <f>N399/M399-1</f>
        <v>0.10721250840618701</v>
      </c>
      <c r="O400" s="72">
        <f>O399/N399-1</f>
        <v>0.13322805472463073</v>
      </c>
      <c r="P400" s="72">
        <f>P399/O399-1</f>
        <v>0.20738031113076372</v>
      </c>
      <c r="Q400" s="24"/>
      <c r="R400" s="72">
        <f>R399/P399-1</f>
        <v>-0.53391485772628422</v>
      </c>
      <c r="S400" s="72">
        <f>S399/R399-1</f>
        <v>0.62188675651221503</v>
      </c>
      <c r="T400" s="72">
        <f>T399/S399-1</f>
        <v>-0.1565858241822774</v>
      </c>
      <c r="U400" s="72">
        <f>U399/T399-1</f>
        <v>0.32163620539599713</v>
      </c>
      <c r="V400" s="24"/>
      <c r="W400" s="72">
        <f>W399/U399-1</f>
        <v>-0.23062638288905302</v>
      </c>
      <c r="X400" s="72">
        <f>X399/W399-1</f>
        <v>9.9183456870431508E-2</v>
      </c>
      <c r="Y400" s="72">
        <f>Y399/X399-1</f>
        <v>-1.6741679774493479E-2</v>
      </c>
      <c r="Z400" s="72">
        <v>0.36723897617840828</v>
      </c>
      <c r="AA400" s="24"/>
      <c r="AB400" s="72">
        <f>AB399/Z399-1</f>
        <v>-0.32448275063135679</v>
      </c>
      <c r="AC400" s="72">
        <f>AC399/AB399-1</f>
        <v>0.3924921114007407</v>
      </c>
      <c r="AD400" s="72">
        <f>AD399/AC399-1</f>
        <v>-0.11957043805958201</v>
      </c>
      <c r="AE400" s="72">
        <f>AE399/AD399-1</f>
        <v>7.3213036788361219E-2</v>
      </c>
      <c r="AF400" s="24"/>
      <c r="AG400" s="72">
        <f>AG399/AE399-1</f>
        <v>-3.5503884051925505E-2</v>
      </c>
      <c r="AH400" s="72">
        <f>AH399/AG399-1</f>
        <v>0.28378378378378377</v>
      </c>
      <c r="AI400" s="72">
        <f>AI399/AH399-1</f>
        <v>-0.25263157894736843</v>
      </c>
      <c r="AJ400" s="72">
        <f>AJ399/AI399-1</f>
        <v>1.4084507042253502E-2</v>
      </c>
      <c r="AK400" s="24"/>
      <c r="AL400" s="72">
        <v>-0.13888888888888884</v>
      </c>
      <c r="AM400" s="72">
        <v>0.19354838709677424</v>
      </c>
      <c r="AN400" s="72">
        <v>-6.7567567567567544E-2</v>
      </c>
      <c r="AO400" s="72">
        <v>0.39130434782608692</v>
      </c>
      <c r="AP400" s="24"/>
      <c r="AQ400" s="72">
        <v>-0.48958333333333337</v>
      </c>
      <c r="AR400" s="72">
        <v>0.40816326530612246</v>
      </c>
      <c r="AS400" s="72">
        <v>-5.7971014492753659E-2</v>
      </c>
      <c r="AT400" s="72">
        <v>0.32307692307692304</v>
      </c>
      <c r="AU400" s="24"/>
      <c r="AV400" s="72">
        <v>-0.39534883720930236</v>
      </c>
      <c r="AW400" s="72">
        <v>0.32692307692307687</v>
      </c>
      <c r="AX400" s="72">
        <v>7.2463768115942129E-2</v>
      </c>
      <c r="AY400" s="72">
        <v>0.10810810810810811</v>
      </c>
      <c r="AZ400" s="24"/>
      <c r="BA400" s="72">
        <v>-0.18292682926829273</v>
      </c>
    </row>
    <row r="401" spans="1:53">
      <c r="A401" s="84" t="s">
        <v>8</v>
      </c>
      <c r="B401" s="24"/>
      <c r="C401" s="73"/>
      <c r="D401" s="73"/>
      <c r="E401" s="73"/>
      <c r="F401" s="73"/>
      <c r="G401" s="24">
        <f t="shared" ref="G401:N401" si="376">G399/B399-1</f>
        <v>0.76328564955660561</v>
      </c>
      <c r="H401" s="73">
        <f t="shared" si="376"/>
        <v>10.107874434690077</v>
      </c>
      <c r="I401" s="73">
        <f t="shared" si="376"/>
        <v>0.62356175142352255</v>
      </c>
      <c r="J401" s="73">
        <f t="shared" si="376"/>
        <v>1.5552383939774153</v>
      </c>
      <c r="K401" s="73">
        <f t="shared" si="376"/>
        <v>-1.6534916162914581E-2</v>
      </c>
      <c r="L401" s="24">
        <f t="shared" si="376"/>
        <v>0.95518397513551889</v>
      </c>
      <c r="M401" s="73">
        <f t="shared" si="376"/>
        <v>-0.28774144104228294</v>
      </c>
      <c r="N401" s="73">
        <f t="shared" si="376"/>
        <v>-0.20354827786377716</v>
      </c>
      <c r="O401" s="73">
        <f t="shared" ref="O401:Y401" si="377">O399/J399-1</f>
        <v>-8.3843802555824243E-2</v>
      </c>
      <c r="P401" s="73">
        <f t="shared" si="377"/>
        <v>0.2530837586393917</v>
      </c>
      <c r="Q401" s="24">
        <f t="shared" si="377"/>
        <v>-9.2284247121886764E-2</v>
      </c>
      <c r="R401" s="73">
        <f t="shared" si="377"/>
        <v>-0.29391392064559518</v>
      </c>
      <c r="S401" s="73">
        <f t="shared" si="377"/>
        <v>3.4301592845103812E-2</v>
      </c>
      <c r="T401" s="73">
        <f t="shared" si="377"/>
        <v>-0.23021264621939952</v>
      </c>
      <c r="U401" s="73">
        <f t="shared" si="377"/>
        <v>-0.15736671549695924</v>
      </c>
      <c r="V401" s="24">
        <f t="shared" si="377"/>
        <v>-0.16059239647540646</v>
      </c>
      <c r="W401" s="73">
        <f t="shared" si="377"/>
        <v>0.39094718796133154</v>
      </c>
      <c r="X401" s="73">
        <f t="shared" si="377"/>
        <v>-5.7328674613894015E-2</v>
      </c>
      <c r="Y401" s="73">
        <f t="shared" si="377"/>
        <v>9.8973020017406377E-2</v>
      </c>
      <c r="Z401" s="73">
        <v>0.13689284585396622</v>
      </c>
      <c r="AA401" s="24">
        <f t="shared" ref="AA401:AI401" si="378">AA399/V399-1</f>
        <v>0.11743301627979541</v>
      </c>
      <c r="AB401" s="73">
        <f t="shared" si="378"/>
        <v>-1.7974219833266636E-3</v>
      </c>
      <c r="AC401" s="73">
        <f t="shared" si="378"/>
        <v>0.2645652614038092</v>
      </c>
      <c r="AD401" s="73">
        <f t="shared" si="378"/>
        <v>0.13231753674607205</v>
      </c>
      <c r="AE401" s="73">
        <f t="shared" si="378"/>
        <v>-0.11118834132666111</v>
      </c>
      <c r="AF401" s="24">
        <f t="shared" si="378"/>
        <v>5.7478150290716901E-2</v>
      </c>
      <c r="AG401" s="73">
        <f t="shared" si="378"/>
        <v>0.26903553299492367</v>
      </c>
      <c r="AH401" s="73">
        <f t="shared" si="378"/>
        <v>0.16996514735403156</v>
      </c>
      <c r="AI401" s="73">
        <f t="shared" si="378"/>
        <v>-6.8541054692963232E-3</v>
      </c>
      <c r="AJ401" s="73">
        <f t="shared" ref="AJ401:AS401" si="379">AJ399/AE399-1</f>
        <v>-6.1571346645116765E-2</v>
      </c>
      <c r="AK401" s="24">
        <v>8.4368754887479414E-2</v>
      </c>
      <c r="AL401" s="73">
        <v>-0.16216216216216217</v>
      </c>
      <c r="AM401" s="73">
        <v>-0.22105263157894739</v>
      </c>
      <c r="AN401" s="73">
        <v>-2.8169014084507005E-2</v>
      </c>
      <c r="AO401" s="73">
        <v>0.33333333333333326</v>
      </c>
      <c r="AP401" s="24">
        <v>-3.5256410256410242E-2</v>
      </c>
      <c r="AQ401" s="73">
        <v>-0.20967741935483875</v>
      </c>
      <c r="AR401" s="73">
        <v>-6.7567567567567544E-2</v>
      </c>
      <c r="AS401" s="73">
        <v>-5.7971014492753659E-2</v>
      </c>
      <c r="AT401" s="73">
        <v>-0.10416666666666663</v>
      </c>
      <c r="AU401" s="24">
        <v>-0.10631229235880402</v>
      </c>
      <c r="AV401" s="73">
        <v>6.1224489795918435E-2</v>
      </c>
      <c r="AW401" s="73">
        <v>0</v>
      </c>
      <c r="AX401" s="73">
        <v>0.13846153846153841</v>
      </c>
      <c r="AY401" s="73">
        <v>-4.6511627906976716E-2</v>
      </c>
      <c r="AZ401" s="24">
        <v>2.9739776951672958E-2</v>
      </c>
      <c r="BA401" s="73">
        <v>0.28846153846153855</v>
      </c>
    </row>
    <row r="402" spans="1:53" hidden="1">
      <c r="A402" s="69" t="s">
        <v>73</v>
      </c>
      <c r="B402" s="37">
        <f>90+41</f>
        <v>131</v>
      </c>
      <c r="C402" s="70">
        <v>27</v>
      </c>
      <c r="D402" s="70">
        <v>50</v>
      </c>
      <c r="E402" s="70">
        <v>14</v>
      </c>
      <c r="F402" s="70">
        <f>G402-E402-D402-C402</f>
        <v>29</v>
      </c>
      <c r="G402" s="37">
        <v>120</v>
      </c>
      <c r="H402" s="70">
        <v>20</v>
      </c>
      <c r="I402" s="70">
        <v>63</v>
      </c>
      <c r="J402" s="70">
        <v>29</v>
      </c>
      <c r="K402" s="70">
        <f>L402-J402-I402-H402</f>
        <v>38</v>
      </c>
      <c r="L402" s="37">
        <v>150</v>
      </c>
      <c r="M402" s="70">
        <v>20</v>
      </c>
      <c r="N402" s="70">
        <v>43</v>
      </c>
      <c r="O402" s="70">
        <v>29</v>
      </c>
      <c r="P402" s="70">
        <v>69</v>
      </c>
      <c r="Q402" s="37">
        <v>160</v>
      </c>
      <c r="R402" s="70">
        <v>49</v>
      </c>
      <c r="S402" s="70">
        <v>71</v>
      </c>
      <c r="T402" s="70">
        <v>85</v>
      </c>
      <c r="U402" s="70">
        <f>V402-T402-S402-R402</f>
        <v>80</v>
      </c>
      <c r="V402" s="37">
        <v>285</v>
      </c>
      <c r="W402" s="70">
        <v>81</v>
      </c>
      <c r="X402" s="70">
        <v>29</v>
      </c>
      <c r="Y402" s="70">
        <v>29</v>
      </c>
      <c r="Z402" s="70">
        <f>AA402-Y402-X402-W402</f>
        <v>30</v>
      </c>
      <c r="AA402" s="37">
        <v>169</v>
      </c>
      <c r="AB402" s="70">
        <v>26</v>
      </c>
      <c r="AC402" s="70">
        <v>39</v>
      </c>
      <c r="AD402" s="70">
        <v>16</v>
      </c>
      <c r="AE402" s="70">
        <v>25</v>
      </c>
      <c r="AF402" s="37">
        <f>AE402+AD402+AC402+AB402</f>
        <v>106</v>
      </c>
      <c r="AG402" s="70">
        <v>33</v>
      </c>
      <c r="AH402" s="70">
        <v>24</v>
      </c>
      <c r="AI402" s="70">
        <v>28</v>
      </c>
      <c r="AJ402" s="70">
        <f>AK402-AI402-AH402-AG402</f>
        <v>25</v>
      </c>
      <c r="AK402" s="37">
        <v>110</v>
      </c>
      <c r="AL402" s="70">
        <v>56</v>
      </c>
      <c r="AM402" s="70">
        <v>17</v>
      </c>
      <c r="AN402" s="70">
        <v>27</v>
      </c>
      <c r="AO402" s="70">
        <v>27</v>
      </c>
      <c r="AP402" s="37">
        <v>127</v>
      </c>
      <c r="AQ402" s="70">
        <v>45</v>
      </c>
      <c r="AR402" s="70">
        <v>35</v>
      </c>
      <c r="AS402" s="70">
        <v>20</v>
      </c>
      <c r="AT402" s="70"/>
      <c r="AU402" s="37"/>
      <c r="AV402" s="70">
        <v>45</v>
      </c>
      <c r="AW402" s="70">
        <v>45</v>
      </c>
      <c r="AX402" s="70">
        <v>45</v>
      </c>
      <c r="AY402" s="70"/>
      <c r="AZ402" s="37"/>
      <c r="BA402" s="70">
        <v>45</v>
      </c>
    </row>
    <row r="403" spans="1:53" hidden="1">
      <c r="A403" s="71" t="s">
        <v>7</v>
      </c>
      <c r="B403" s="24"/>
      <c r="C403" s="72"/>
      <c r="D403" s="72">
        <f>D402/C402-1</f>
        <v>0.85185185185185186</v>
      </c>
      <c r="E403" s="72">
        <f>E402/D402-1</f>
        <v>-0.72</v>
      </c>
      <c r="F403" s="72">
        <f>F402/E402-1</f>
        <v>1.0714285714285716</v>
      </c>
      <c r="G403" s="24"/>
      <c r="H403" s="72">
        <f>H402/F402-1</f>
        <v>-0.31034482758620685</v>
      </c>
      <c r="I403" s="72">
        <f>I402/H402-1</f>
        <v>2.15</v>
      </c>
      <c r="J403" s="72">
        <f>J402/I402-1</f>
        <v>-0.53968253968253976</v>
      </c>
      <c r="K403" s="72">
        <f>K402/J402-1</f>
        <v>0.31034482758620685</v>
      </c>
      <c r="L403" s="24"/>
      <c r="M403" s="72">
        <f>M402/K402-1</f>
        <v>-0.47368421052631582</v>
      </c>
      <c r="N403" s="72">
        <f>N402/M402-1</f>
        <v>1.1499999999999999</v>
      </c>
      <c r="O403" s="72">
        <f>O402/N402-1</f>
        <v>-0.32558139534883723</v>
      </c>
      <c r="P403" s="72">
        <f>P402/O402-1</f>
        <v>1.3793103448275863</v>
      </c>
      <c r="Q403" s="24"/>
      <c r="R403" s="72">
        <f>R402/P402-1</f>
        <v>-0.28985507246376807</v>
      </c>
      <c r="S403" s="72">
        <f>S402/R402-1</f>
        <v>0.44897959183673475</v>
      </c>
      <c r="T403" s="72">
        <f>T402/S402-1</f>
        <v>0.19718309859154926</v>
      </c>
      <c r="U403" s="72">
        <f>U402/T402-1</f>
        <v>-5.8823529411764719E-2</v>
      </c>
      <c r="V403" s="24"/>
      <c r="W403" s="72">
        <f>W402/U402-1</f>
        <v>1.2499999999999956E-2</v>
      </c>
      <c r="X403" s="72">
        <f>X402/W402-1</f>
        <v>-0.64197530864197527</v>
      </c>
      <c r="Y403" s="72">
        <f>Y402/X402-1</f>
        <v>0</v>
      </c>
      <c r="Z403" s="72">
        <v>3.4482758620689724E-2</v>
      </c>
      <c r="AA403" s="24"/>
      <c r="AB403" s="72">
        <f>AB402/Z402-1</f>
        <v>-0.1333333333333333</v>
      </c>
      <c r="AC403" s="72">
        <f>AC402/AB402-1</f>
        <v>0.5</v>
      </c>
      <c r="AD403" s="72">
        <f>AD402/AC402-1</f>
        <v>-0.58974358974358976</v>
      </c>
      <c r="AE403" s="72">
        <f>AE402/AD402-1</f>
        <v>0.5625</v>
      </c>
      <c r="AF403" s="24"/>
      <c r="AG403" s="72">
        <f>AG402/AE402-1</f>
        <v>0.32000000000000006</v>
      </c>
      <c r="AH403" s="72">
        <f>AH402/AG402-1</f>
        <v>-0.27272727272727271</v>
      </c>
      <c r="AI403" s="72">
        <f>AI402/AH402-1</f>
        <v>0.16666666666666674</v>
      </c>
      <c r="AJ403" s="72">
        <f>AJ402/AI402-1</f>
        <v>-0.1071428571428571</v>
      </c>
      <c r="AK403" s="24"/>
      <c r="AL403" s="72">
        <v>1.2400000000000002</v>
      </c>
      <c r="AM403" s="72">
        <v>-0.6964285714285714</v>
      </c>
      <c r="AN403" s="72">
        <v>0.58823529411764697</v>
      </c>
      <c r="AO403" s="72">
        <v>0</v>
      </c>
      <c r="AP403" s="24"/>
      <c r="AQ403" s="72">
        <v>0.66666666666666674</v>
      </c>
      <c r="AR403" s="72">
        <v>-0.22222222222222221</v>
      </c>
      <c r="AS403" s="72">
        <v>-0.4285714285714286</v>
      </c>
      <c r="AT403" s="72"/>
      <c r="AU403" s="24"/>
      <c r="AV403" s="72" t="e">
        <v>#DIV/0!</v>
      </c>
      <c r="AW403" s="72" t="e">
        <v>#DIV/0!</v>
      </c>
      <c r="AX403" s="72">
        <v>0</v>
      </c>
      <c r="AY403" s="72"/>
      <c r="AZ403" s="24"/>
      <c r="BA403" s="72" t="e">
        <v>#DIV/0!</v>
      </c>
    </row>
    <row r="404" spans="1:53" hidden="1">
      <c r="A404" s="71" t="s">
        <v>8</v>
      </c>
      <c r="B404" s="24"/>
      <c r="C404" s="73"/>
      <c r="D404" s="73"/>
      <c r="E404" s="73"/>
      <c r="F404" s="73"/>
      <c r="G404" s="24">
        <f t="shared" ref="G404:N404" si="380">G402/B402-1</f>
        <v>-8.3969465648854991E-2</v>
      </c>
      <c r="H404" s="73">
        <f t="shared" si="380"/>
        <v>-0.2592592592592593</v>
      </c>
      <c r="I404" s="73">
        <f t="shared" si="380"/>
        <v>0.26</v>
      </c>
      <c r="J404" s="73">
        <f t="shared" si="380"/>
        <v>1.0714285714285716</v>
      </c>
      <c r="K404" s="73">
        <f t="shared" si="380"/>
        <v>0.31034482758620685</v>
      </c>
      <c r="L404" s="24">
        <f t="shared" si="380"/>
        <v>0.25</v>
      </c>
      <c r="M404" s="73">
        <f t="shared" si="380"/>
        <v>0</v>
      </c>
      <c r="N404" s="73">
        <f t="shared" si="380"/>
        <v>-0.31746031746031744</v>
      </c>
      <c r="O404" s="73">
        <f t="shared" ref="O404:Y404" si="381">O402/J402-1</f>
        <v>0</v>
      </c>
      <c r="P404" s="73">
        <f t="shared" si="381"/>
        <v>0.81578947368421062</v>
      </c>
      <c r="Q404" s="24">
        <f t="shared" si="381"/>
        <v>6.6666666666666652E-2</v>
      </c>
      <c r="R404" s="73">
        <f t="shared" si="381"/>
        <v>1.4500000000000002</v>
      </c>
      <c r="S404" s="73">
        <f t="shared" si="381"/>
        <v>0.65116279069767447</v>
      </c>
      <c r="T404" s="73">
        <f t="shared" si="381"/>
        <v>1.9310344827586206</v>
      </c>
      <c r="U404" s="73">
        <f t="shared" si="381"/>
        <v>0.15942028985507251</v>
      </c>
      <c r="V404" s="24">
        <f t="shared" si="381"/>
        <v>0.78125</v>
      </c>
      <c r="W404" s="73">
        <f t="shared" si="381"/>
        <v>0.65306122448979598</v>
      </c>
      <c r="X404" s="73">
        <f t="shared" si="381"/>
        <v>-0.59154929577464788</v>
      </c>
      <c r="Y404" s="73">
        <f t="shared" si="381"/>
        <v>-0.6588235294117647</v>
      </c>
      <c r="Z404" s="73">
        <v>-0.625</v>
      </c>
      <c r="AA404" s="24">
        <f t="shared" ref="AA404:AI404" si="382">AA402/V402-1</f>
        <v>-0.40701754385964917</v>
      </c>
      <c r="AB404" s="73">
        <f t="shared" si="382"/>
        <v>-0.67901234567901236</v>
      </c>
      <c r="AC404" s="73">
        <f t="shared" si="382"/>
        <v>0.34482758620689657</v>
      </c>
      <c r="AD404" s="73">
        <f t="shared" si="382"/>
        <v>-0.44827586206896552</v>
      </c>
      <c r="AE404" s="73">
        <f t="shared" si="382"/>
        <v>-0.16666666666666663</v>
      </c>
      <c r="AF404" s="24">
        <f t="shared" si="382"/>
        <v>-0.37278106508875741</v>
      </c>
      <c r="AG404" s="73">
        <f t="shared" si="382"/>
        <v>0.26923076923076916</v>
      </c>
      <c r="AH404" s="73">
        <f t="shared" si="382"/>
        <v>-0.38461538461538458</v>
      </c>
      <c r="AI404" s="73">
        <f t="shared" si="382"/>
        <v>0.75</v>
      </c>
      <c r="AJ404" s="73">
        <f t="shared" ref="AJ404:AS404" si="383">AJ402/AE402-1</f>
        <v>0</v>
      </c>
      <c r="AK404" s="24">
        <v>3.7735849056603765E-2</v>
      </c>
      <c r="AL404" s="73">
        <v>0.69696969696969702</v>
      </c>
      <c r="AM404" s="73">
        <v>-0.29166666666666663</v>
      </c>
      <c r="AN404" s="73">
        <v>-3.5714285714285698E-2</v>
      </c>
      <c r="AO404" s="73">
        <v>8.0000000000000071E-2</v>
      </c>
      <c r="AP404" s="24">
        <v>0.15454545454545454</v>
      </c>
      <c r="AQ404" s="73">
        <v>-0.1964285714285714</v>
      </c>
      <c r="AR404" s="73">
        <v>1.0588235294117645</v>
      </c>
      <c r="AS404" s="73">
        <v>-0.2592592592592593</v>
      </c>
      <c r="AT404" s="73"/>
      <c r="AU404" s="24"/>
      <c r="AV404" s="73">
        <v>0</v>
      </c>
      <c r="AW404" s="73">
        <v>0.28571428571428581</v>
      </c>
      <c r="AX404" s="73">
        <v>1.25</v>
      </c>
      <c r="AY404" s="73"/>
      <c r="AZ404" s="24"/>
      <c r="BA404" s="73">
        <v>0</v>
      </c>
    </row>
    <row r="405" spans="1:53">
      <c r="A405" s="69" t="s">
        <v>72</v>
      </c>
      <c r="B405" s="37">
        <f>41.15+8.994+40.879+12.468</f>
        <v>103.491</v>
      </c>
      <c r="C405" s="70">
        <f>8.133+2.208+17.166</f>
        <v>27.506999999999998</v>
      </c>
      <c r="D405" s="70">
        <f>10.724+7.38+12.816</f>
        <v>30.92</v>
      </c>
      <c r="E405" s="70">
        <f>13.406+2.329+17.566</f>
        <v>33.301000000000002</v>
      </c>
      <c r="F405" s="70">
        <f>G405-E405-D405-C405</f>
        <v>26.93</v>
      </c>
      <c r="G405" s="37">
        <f>45.028+9.918+58.712+5</f>
        <v>118.658</v>
      </c>
      <c r="H405" s="70">
        <f>15.023+5.147+1.278</f>
        <v>21.448</v>
      </c>
      <c r="I405" s="70">
        <f>7.388+9.424+9.283</f>
        <v>26.094999999999999</v>
      </c>
      <c r="J405" s="70">
        <f>9.214+6.57+17.691</f>
        <v>33.475000000000001</v>
      </c>
      <c r="K405" s="70">
        <f>L405-J405-I405-H405</f>
        <v>38.912000000000013</v>
      </c>
      <c r="L405" s="37">
        <f>39.192+27.4+53.338</f>
        <v>119.93</v>
      </c>
      <c r="M405" s="70">
        <f>6.574+8.15+22.007</f>
        <v>36.731000000000002</v>
      </c>
      <c r="N405" s="70">
        <f>(29.638+15.235+24.624)-(6.574+8.15+22.007)</f>
        <v>32.765999999999998</v>
      </c>
      <c r="O405" s="70">
        <f>18.586+1.753+9.684</f>
        <v>30.022999999999996</v>
      </c>
      <c r="P405" s="70">
        <f>Q405-O405-N405-M405</f>
        <v>80.244000000000028</v>
      </c>
      <c r="Q405" s="37">
        <f>101.972+33.208+44.584</f>
        <v>179.76400000000001</v>
      </c>
      <c r="R405" s="70">
        <f>25.962+19.629+0.432</f>
        <v>46.023000000000003</v>
      </c>
      <c r="S405" s="70">
        <f>31.759+14.805+0.408</f>
        <v>46.972000000000001</v>
      </c>
      <c r="T405" s="70">
        <f>74.585+16.26+0.829</f>
        <v>91.673999999999992</v>
      </c>
      <c r="U405" s="70">
        <f>V405-T405-S405-R405</f>
        <v>103.74900000000002</v>
      </c>
      <c r="V405" s="37">
        <f>209.208+57.026+22.184</f>
        <v>288.41800000000001</v>
      </c>
      <c r="W405" s="70">
        <f>53.395+13.741+3.912</f>
        <v>71.048000000000002</v>
      </c>
      <c r="X405" s="70">
        <f>16.256+12.968+6.548</f>
        <v>35.771999999999998</v>
      </c>
      <c r="Y405" s="70">
        <f>15.176+11.446+3.054</f>
        <v>29.675999999999998</v>
      </c>
      <c r="Z405" s="70">
        <f>AA405-Y405-X405-W405</f>
        <v>38.865000000000009</v>
      </c>
      <c r="AA405" s="37">
        <f>113.803+54.321+7.237</f>
        <v>175.36099999999999</v>
      </c>
      <c r="AB405" s="70">
        <f>16.608+11.749+2.527</f>
        <v>30.884</v>
      </c>
      <c r="AC405" s="70">
        <f>15.364+9.196+3.058</f>
        <v>27.618000000000002</v>
      </c>
      <c r="AD405" s="70">
        <f>10.822+14.215</f>
        <v>25.036999999999999</v>
      </c>
      <c r="AE405" s="70">
        <f>AF405-AD405-AC405-AB405</f>
        <v>20.976000000000006</v>
      </c>
      <c r="AF405" s="37">
        <f>50.18+44.784+9.551</f>
        <v>104.515</v>
      </c>
      <c r="AG405" s="70">
        <f>14.362+9.277+7.122</f>
        <v>30.760999999999999</v>
      </c>
      <c r="AH405" s="70">
        <f>14.573+9.287</f>
        <v>23.86</v>
      </c>
      <c r="AI405" s="70">
        <f>10.98+9.355+7.009</f>
        <v>27.344000000000001</v>
      </c>
      <c r="AJ405" s="70">
        <f>AK405-AI405-AH405-AG405</f>
        <v>28.035000000000007</v>
      </c>
      <c r="AK405" s="37">
        <v>110</v>
      </c>
      <c r="AL405" s="70">
        <v>52.957000000000001</v>
      </c>
      <c r="AM405" s="70">
        <v>25.783999999999999</v>
      </c>
      <c r="AN405" s="70">
        <v>28.239000000000001</v>
      </c>
      <c r="AO405" s="70">
        <v>21.020000000000003</v>
      </c>
      <c r="AP405" s="37">
        <v>128</v>
      </c>
      <c r="AQ405" s="70">
        <v>37</v>
      </c>
      <c r="AR405" s="70">
        <v>33</v>
      </c>
      <c r="AS405" s="70">
        <v>24</v>
      </c>
      <c r="AT405" s="70">
        <v>26</v>
      </c>
      <c r="AU405" s="37">
        <v>120</v>
      </c>
      <c r="AV405" s="70">
        <v>29</v>
      </c>
      <c r="AW405" s="70">
        <v>46</v>
      </c>
      <c r="AX405" s="70">
        <v>31</v>
      </c>
      <c r="AY405" s="70">
        <v>36</v>
      </c>
      <c r="AZ405" s="37">
        <v>142</v>
      </c>
      <c r="BA405" s="70">
        <v>31</v>
      </c>
    </row>
    <row r="406" spans="1:53">
      <c r="A406" s="71" t="s">
        <v>7</v>
      </c>
      <c r="B406" s="24"/>
      <c r="C406" s="72"/>
      <c r="D406" s="72">
        <f>D405/C405-1</f>
        <v>0.12407750754353453</v>
      </c>
      <c r="E406" s="72">
        <f>E405/D405-1</f>
        <v>7.7005174644243279E-2</v>
      </c>
      <c r="F406" s="72">
        <f>F405/E405-1</f>
        <v>-0.19131557610882566</v>
      </c>
      <c r="G406" s="24"/>
      <c r="H406" s="72">
        <f>H405/F405-1</f>
        <v>-0.20356479762346824</v>
      </c>
      <c r="I406" s="72">
        <f>I405/H405-1</f>
        <v>0.21666355837374107</v>
      </c>
      <c r="J406" s="72">
        <f>J405/I405-1</f>
        <v>0.28281279938685588</v>
      </c>
      <c r="K406" s="72">
        <f>K405/J405-1</f>
        <v>0.16241971620612428</v>
      </c>
      <c r="L406" s="24"/>
      <c r="M406" s="72">
        <f>M405/K405-1</f>
        <v>-5.6049547697368696E-2</v>
      </c>
      <c r="N406" s="72">
        <f>N405/M405-1</f>
        <v>-0.1079469657782256</v>
      </c>
      <c r="O406" s="72">
        <f>O405/N405-1</f>
        <v>-8.3714826344381432E-2</v>
      </c>
      <c r="P406" s="72">
        <f>P405/O405-1</f>
        <v>1.6727508909835804</v>
      </c>
      <c r="Q406" s="24"/>
      <c r="R406" s="72">
        <f>R405/P405-1</f>
        <v>-0.42646179153581587</v>
      </c>
      <c r="S406" s="72">
        <f>S405/R405-1</f>
        <v>2.0620124720248434E-2</v>
      </c>
      <c r="T406" s="72">
        <f>T405/S405-1</f>
        <v>0.95167333730733183</v>
      </c>
      <c r="U406" s="72">
        <f>U405/T405-1</f>
        <v>0.13171673538844209</v>
      </c>
      <c r="V406" s="24"/>
      <c r="W406" s="72">
        <f>W405/U405-1</f>
        <v>-0.31519339945445268</v>
      </c>
      <c r="X406" s="72">
        <f>X405/W405-1</f>
        <v>-0.49650940209435879</v>
      </c>
      <c r="Y406" s="72">
        <f>Y405/X405-1</f>
        <v>-0.17041261321704126</v>
      </c>
      <c r="Z406" s="72">
        <v>0.30964415689446056</v>
      </c>
      <c r="AA406" s="24"/>
      <c r="AB406" s="72">
        <f>AB405/Z405-1</f>
        <v>-0.20535185899909958</v>
      </c>
      <c r="AC406" s="72">
        <f>AC405/AB405-1</f>
        <v>-0.10575055044683324</v>
      </c>
      <c r="AD406" s="72">
        <f>AD405/AC405-1</f>
        <v>-9.3453544789630083E-2</v>
      </c>
      <c r="AE406" s="72">
        <f>AE405/AD405-1</f>
        <v>-0.16219994408275729</v>
      </c>
      <c r="AF406" s="24"/>
      <c r="AG406" s="72">
        <f>AG405/AE405-1</f>
        <v>0.46648550724637627</v>
      </c>
      <c r="AH406" s="72">
        <f>AH405/AG405-1</f>
        <v>-0.22434251162185881</v>
      </c>
      <c r="AI406" s="72">
        <f>AI405/AH405-1</f>
        <v>0.14601844090528093</v>
      </c>
      <c r="AJ406" s="72">
        <f>AJ405/AI405-1</f>
        <v>2.5270626097133153E-2</v>
      </c>
      <c r="AK406" s="24"/>
      <c r="AL406" s="72">
        <v>0.88896022828607046</v>
      </c>
      <c r="AM406" s="72">
        <v>-0.51311441358082976</v>
      </c>
      <c r="AN406" s="72">
        <v>9.5214086255041908E-2</v>
      </c>
      <c r="AO406" s="72">
        <v>-0.25563936400014153</v>
      </c>
      <c r="AP406" s="24"/>
      <c r="AQ406" s="72">
        <v>0.76022835394862009</v>
      </c>
      <c r="AR406" s="72">
        <v>-0.10810810810810811</v>
      </c>
      <c r="AS406" s="72">
        <v>-0.27272727272727271</v>
      </c>
      <c r="AT406" s="72">
        <v>8.3333333333333259E-2</v>
      </c>
      <c r="AU406" s="24"/>
      <c r="AV406" s="72">
        <v>0.11538461538461542</v>
      </c>
      <c r="AW406" s="72">
        <v>0.5862068965517242</v>
      </c>
      <c r="AX406" s="72">
        <v>-0.32608695652173914</v>
      </c>
      <c r="AY406" s="72">
        <v>0.16129032258064524</v>
      </c>
      <c r="AZ406" s="24"/>
      <c r="BA406" s="72">
        <v>-0.13888888888888884</v>
      </c>
    </row>
    <row r="407" spans="1:53">
      <c r="A407" s="71" t="s">
        <v>8</v>
      </c>
      <c r="B407" s="24"/>
      <c r="C407" s="73"/>
      <c r="D407" s="73"/>
      <c r="E407" s="73"/>
      <c r="F407" s="73"/>
      <c r="G407" s="24">
        <f t="shared" ref="G407:N407" si="384">G405/B405-1</f>
        <v>0.14655380661120287</v>
      </c>
      <c r="H407" s="73">
        <f t="shared" si="384"/>
        <v>-0.2202712036936052</v>
      </c>
      <c r="I407" s="73">
        <f t="shared" si="384"/>
        <v>-0.15604786545924976</v>
      </c>
      <c r="J407" s="73">
        <f t="shared" si="384"/>
        <v>5.2250683162666789E-3</v>
      </c>
      <c r="K407" s="73">
        <f t="shared" si="384"/>
        <v>0.44493130337913156</v>
      </c>
      <c r="L407" s="24">
        <f t="shared" si="384"/>
        <v>1.0719884036474614E-2</v>
      </c>
      <c r="M407" s="73">
        <f t="shared" si="384"/>
        <v>0.71256061171204776</v>
      </c>
      <c r="N407" s="73">
        <f t="shared" si="384"/>
        <v>0.25564284345660093</v>
      </c>
      <c r="O407" s="73">
        <f t="shared" ref="O407:Y407" si="385">O405/J405-1</f>
        <v>-0.10312173263629587</v>
      </c>
      <c r="P407" s="73">
        <f t="shared" si="385"/>
        <v>1.0621916118421053</v>
      </c>
      <c r="Q407" s="24">
        <f t="shared" si="385"/>
        <v>0.49890769615609099</v>
      </c>
      <c r="R407" s="73">
        <f t="shared" si="385"/>
        <v>0.25297432686286792</v>
      </c>
      <c r="S407" s="73">
        <f t="shared" si="385"/>
        <v>0.43355917719587378</v>
      </c>
      <c r="T407" s="73">
        <f t="shared" si="385"/>
        <v>2.0534590147553544</v>
      </c>
      <c r="U407" s="73">
        <f t="shared" si="385"/>
        <v>0.29291909675489736</v>
      </c>
      <c r="V407" s="24">
        <f t="shared" si="385"/>
        <v>0.6044258027191205</v>
      </c>
      <c r="W407" s="73">
        <f t="shared" si="385"/>
        <v>0.5437498641983356</v>
      </c>
      <c r="X407" s="73">
        <f t="shared" si="385"/>
        <v>-0.23843992165545436</v>
      </c>
      <c r="Y407" s="73">
        <f t="shared" si="385"/>
        <v>-0.67628771516460495</v>
      </c>
      <c r="Z407" s="73">
        <v>-0.62539397970100918</v>
      </c>
      <c r="AA407" s="24">
        <f t="shared" ref="AA407:AI407" si="386">AA405/V405-1</f>
        <v>-0.39199009770541371</v>
      </c>
      <c r="AB407" s="73">
        <f t="shared" si="386"/>
        <v>-0.5653079608152235</v>
      </c>
      <c r="AC407" s="73">
        <f t="shared" si="386"/>
        <v>-0.22794364307279424</v>
      </c>
      <c r="AD407" s="73">
        <f t="shared" si="386"/>
        <v>-0.15632160668553707</v>
      </c>
      <c r="AE407" s="73">
        <f t="shared" si="386"/>
        <v>-0.46028560401389418</v>
      </c>
      <c r="AF407" s="24">
        <f t="shared" si="386"/>
        <v>-0.40400088959346714</v>
      </c>
      <c r="AG407" s="73">
        <f t="shared" si="386"/>
        <v>-3.9826447351379857E-3</v>
      </c>
      <c r="AH407" s="73">
        <f t="shared" si="386"/>
        <v>-0.13607067854297927</v>
      </c>
      <c r="AI407" s="73">
        <f t="shared" si="386"/>
        <v>9.2143627431401587E-2</v>
      </c>
      <c r="AJ407" s="73">
        <f t="shared" ref="AJ407:AS407" si="387">AJ405/AE405-1</f>
        <v>0.33652745995423339</v>
      </c>
      <c r="AK407" s="24">
        <v>5.2480505190642512E-2</v>
      </c>
      <c r="AL407" s="73">
        <v>0.7215630181073438</v>
      </c>
      <c r="AM407" s="73">
        <v>8.0637049455155152E-2</v>
      </c>
      <c r="AN407" s="73">
        <v>3.2731129315389129E-2</v>
      </c>
      <c r="AO407" s="73">
        <v>-0.25022293561619413</v>
      </c>
      <c r="AP407" s="24">
        <v>0.16363636363636358</v>
      </c>
      <c r="AQ407" s="73">
        <v>-0.30131993881828656</v>
      </c>
      <c r="AR407" s="73">
        <v>0.27986348122866889</v>
      </c>
      <c r="AS407" s="73">
        <v>-0.15011154785934344</v>
      </c>
      <c r="AT407" s="73">
        <v>0.23691722169362484</v>
      </c>
      <c r="AU407" s="24">
        <v>-6.25E-2</v>
      </c>
      <c r="AV407" s="73">
        <v>-0.21621621621621623</v>
      </c>
      <c r="AW407" s="73">
        <v>0.39393939393939403</v>
      </c>
      <c r="AX407" s="73">
        <v>0.29166666666666674</v>
      </c>
      <c r="AY407" s="73">
        <v>0.38461538461538458</v>
      </c>
      <c r="AZ407" s="24">
        <v>0.18333333333333335</v>
      </c>
      <c r="BA407" s="73">
        <v>6.8965517241379226E-2</v>
      </c>
    </row>
    <row r="408" spans="1:53" s="36" customFormat="1" ht="14.25">
      <c r="A408" s="69" t="s">
        <v>71</v>
      </c>
      <c r="B408" s="37">
        <f>B405-3.926</f>
        <v>99.564999999999998</v>
      </c>
      <c r="C408" s="70">
        <f>8.133+2.208+17.166</f>
        <v>27.506999999999998</v>
      </c>
      <c r="D408" s="70">
        <f>10.724+7.38+12.816</f>
        <v>30.92</v>
      </c>
      <c r="E408" s="70">
        <f>E405</f>
        <v>33.301000000000002</v>
      </c>
      <c r="F408" s="70">
        <f>G408-E408-D408-C408</f>
        <v>26.417999999999999</v>
      </c>
      <c r="G408" s="37">
        <f>G405-0.512</f>
        <v>118.146</v>
      </c>
      <c r="H408" s="70">
        <f>H405-0.107</f>
        <v>21.341000000000001</v>
      </c>
      <c r="I408" s="70">
        <f>I405-0.045</f>
        <v>26.049999999999997</v>
      </c>
      <c r="J408" s="70">
        <f>J405</f>
        <v>33.475000000000001</v>
      </c>
      <c r="K408" s="70">
        <f>L408-J408-I408-H408</f>
        <v>38.908000000000008</v>
      </c>
      <c r="L408" s="37">
        <f>L405-0.156</f>
        <v>119.774</v>
      </c>
      <c r="M408" s="70">
        <f>M405-0.021</f>
        <v>36.71</v>
      </c>
      <c r="N408" s="70">
        <f>N405</f>
        <v>32.765999999999998</v>
      </c>
      <c r="O408" s="70">
        <f>O405-0.101</f>
        <v>29.921999999999997</v>
      </c>
      <c r="P408" s="70">
        <f>Q408-O408-N408-M408</f>
        <v>80.232000000000028</v>
      </c>
      <c r="Q408" s="37">
        <f>Q405-0.134</f>
        <v>179.63000000000002</v>
      </c>
      <c r="R408" s="70">
        <f>R405-0.256</f>
        <v>45.767000000000003</v>
      </c>
      <c r="S408" s="70">
        <f>S405</f>
        <v>46.972000000000001</v>
      </c>
      <c r="T408" s="70">
        <f>T405-0.097</f>
        <v>91.576999999999998</v>
      </c>
      <c r="U408" s="70">
        <f>V408-T408-S408-R408</f>
        <v>103.32200000000003</v>
      </c>
      <c r="V408" s="37">
        <f>V405-0.78</f>
        <v>287.63800000000003</v>
      </c>
      <c r="W408" s="70">
        <f>W405-0.422</f>
        <v>70.626000000000005</v>
      </c>
      <c r="X408" s="70">
        <f>X405-0.121</f>
        <v>35.650999999999996</v>
      </c>
      <c r="Y408" s="70">
        <f>Y405-1.073</f>
        <v>28.602999999999998</v>
      </c>
      <c r="Z408" s="70">
        <f>AA408-Y408-X408-W408</f>
        <v>38.155999999999992</v>
      </c>
      <c r="AA408" s="37">
        <f>AA405-2.325</f>
        <v>173.036</v>
      </c>
      <c r="AB408" s="70">
        <f>AB405-0.173</f>
        <v>30.711000000000002</v>
      </c>
      <c r="AC408" s="70">
        <f>AC405-0.475</f>
        <v>27.143000000000001</v>
      </c>
      <c r="AD408" s="70">
        <f>AD405-3.627</f>
        <v>21.41</v>
      </c>
      <c r="AE408" s="70">
        <f>AF408-AD408-AC408-AB408</f>
        <v>17.895000000000007</v>
      </c>
      <c r="AF408" s="37">
        <f>AF405-7.356</f>
        <v>97.159000000000006</v>
      </c>
      <c r="AG408" s="70">
        <v>31</v>
      </c>
      <c r="AH408" s="70">
        <v>23</v>
      </c>
      <c r="AI408" s="70">
        <v>27</v>
      </c>
      <c r="AJ408" s="70">
        <f>AK408-AI408-AH408-AG408</f>
        <v>27</v>
      </c>
      <c r="AK408" s="37">
        <v>108</v>
      </c>
      <c r="AL408" s="70">
        <v>53</v>
      </c>
      <c r="AM408" s="70">
        <v>26</v>
      </c>
      <c r="AN408" s="70">
        <v>28</v>
      </c>
      <c r="AO408" s="70">
        <v>21</v>
      </c>
      <c r="AP408" s="37">
        <v>128</v>
      </c>
      <c r="AQ408" s="70">
        <v>37</v>
      </c>
      <c r="AR408" s="70">
        <v>33</v>
      </c>
      <c r="AS408" s="70">
        <v>24</v>
      </c>
      <c r="AT408" s="70">
        <v>25</v>
      </c>
      <c r="AU408" s="37">
        <v>119</v>
      </c>
      <c r="AV408" s="70">
        <v>29</v>
      </c>
      <c r="AW408" s="70">
        <v>46</v>
      </c>
      <c r="AX408" s="70">
        <v>29</v>
      </c>
      <c r="AY408" s="70">
        <v>35</v>
      </c>
      <c r="AZ408" s="37">
        <v>139</v>
      </c>
      <c r="BA408" s="70">
        <v>31</v>
      </c>
    </row>
    <row r="409" spans="1:53">
      <c r="A409" s="71" t="s">
        <v>7</v>
      </c>
      <c r="B409" s="24"/>
      <c r="C409" s="72"/>
      <c r="D409" s="72">
        <f>D408/C408-1</f>
        <v>0.12407750754353453</v>
      </c>
      <c r="E409" s="72">
        <f>E408/D408-1</f>
        <v>7.7005174644243279E-2</v>
      </c>
      <c r="F409" s="72">
        <f>F408/E408-1</f>
        <v>-0.20669048977508186</v>
      </c>
      <c r="G409" s="24"/>
      <c r="H409" s="72">
        <f>H408/F408-1</f>
        <v>-0.19217957453251566</v>
      </c>
      <c r="I409" s="72">
        <f>I408/H408-1</f>
        <v>0.22065507708167353</v>
      </c>
      <c r="J409" s="72">
        <f>J408/I408-1</f>
        <v>0.28502879078694843</v>
      </c>
      <c r="K409" s="72">
        <f>K408/J408-1</f>
        <v>0.16230022404779709</v>
      </c>
      <c r="L409" s="24"/>
      <c r="M409" s="72">
        <f>M408/K408-1</f>
        <v>-5.6492238100133818E-2</v>
      </c>
      <c r="N409" s="72">
        <f>N408/M408-1</f>
        <v>-0.10743666575864896</v>
      </c>
      <c r="O409" s="72">
        <f>O408/N408-1</f>
        <v>-8.6797289873649541E-2</v>
      </c>
      <c r="P409" s="72">
        <f>P408/O408-1</f>
        <v>1.6813715660717876</v>
      </c>
      <c r="Q409" s="24"/>
      <c r="R409" s="72">
        <f>R408/P408-1</f>
        <v>-0.4295667564064215</v>
      </c>
      <c r="S409" s="72">
        <f>S408/R408-1</f>
        <v>2.6329014355321423E-2</v>
      </c>
      <c r="T409" s="72">
        <f>T408/S408-1</f>
        <v>0.94960827727156594</v>
      </c>
      <c r="U409" s="72">
        <f>U408/T408-1</f>
        <v>0.12825272721316527</v>
      </c>
      <c r="V409" s="24"/>
      <c r="W409" s="72">
        <f>W408/U408-1</f>
        <v>-0.31644761038307445</v>
      </c>
      <c r="X409" s="72">
        <f>X408/W408-1</f>
        <v>-0.49521422705519225</v>
      </c>
      <c r="Y409" s="72">
        <f>Y408/X408-1</f>
        <v>-0.19769431432498386</v>
      </c>
      <c r="Z409" s="72">
        <v>0.33398594553018901</v>
      </c>
      <c r="AA409" s="24"/>
      <c r="AB409" s="72">
        <f>AB408/Z408-1</f>
        <v>-0.1951200335464931</v>
      </c>
      <c r="AC409" s="72">
        <f>AC408/AB408-1</f>
        <v>-0.11617987040474098</v>
      </c>
      <c r="AD409" s="72">
        <f>AD408/AC408-1</f>
        <v>-0.21121467781748515</v>
      </c>
      <c r="AE409" s="72">
        <f>AE408/AD408-1</f>
        <v>-0.16417561886968679</v>
      </c>
      <c r="AF409" s="24"/>
      <c r="AG409" s="72">
        <f>AG408/AE408-1</f>
        <v>0.73232746577256158</v>
      </c>
      <c r="AH409" s="72">
        <f>AH408/AG408-1</f>
        <v>-0.25806451612903225</v>
      </c>
      <c r="AI409" s="72">
        <f>AI408/AH408-1</f>
        <v>0.17391304347826098</v>
      </c>
      <c r="AJ409" s="72">
        <f>AJ408/AI408-1</f>
        <v>0</v>
      </c>
      <c r="AK409" s="24"/>
      <c r="AL409" s="72">
        <v>0.96296296296296302</v>
      </c>
      <c r="AM409" s="72">
        <v>-0.50943396226415094</v>
      </c>
      <c r="AN409" s="72">
        <v>7.6923076923076872E-2</v>
      </c>
      <c r="AO409" s="72">
        <v>-0.25</v>
      </c>
      <c r="AP409" s="24"/>
      <c r="AQ409" s="72">
        <v>0.76190476190476186</v>
      </c>
      <c r="AR409" s="72">
        <v>-0.10810810810810811</v>
      </c>
      <c r="AS409" s="72">
        <v>-0.27272727272727271</v>
      </c>
      <c r="AT409" s="72">
        <v>4.1666666666666741E-2</v>
      </c>
      <c r="AU409" s="24"/>
      <c r="AV409" s="72">
        <v>0.15999999999999992</v>
      </c>
      <c r="AW409" s="72">
        <v>0.5862068965517242</v>
      </c>
      <c r="AX409" s="72">
        <v>-0.36956521739130432</v>
      </c>
      <c r="AY409" s="72">
        <v>0.2068965517241379</v>
      </c>
      <c r="AZ409" s="24"/>
      <c r="BA409" s="72">
        <v>-0.11428571428571432</v>
      </c>
    </row>
    <row r="410" spans="1:53">
      <c r="A410" s="71" t="s">
        <v>8</v>
      </c>
      <c r="B410" s="24"/>
      <c r="C410" s="73"/>
      <c r="D410" s="73"/>
      <c r="E410" s="73"/>
      <c r="F410" s="73"/>
      <c r="G410" s="24">
        <f t="shared" ref="G410:N410" si="388">G408/B408-1</f>
        <v>0.18662180485110236</v>
      </c>
      <c r="H410" s="73">
        <f t="shared" si="388"/>
        <v>-0.2241611226233321</v>
      </c>
      <c r="I410" s="73">
        <f t="shared" si="388"/>
        <v>-0.15750323415265211</v>
      </c>
      <c r="J410" s="73">
        <f t="shared" si="388"/>
        <v>5.2250683162666789E-3</v>
      </c>
      <c r="K410" s="73">
        <f t="shared" si="388"/>
        <v>0.4727837080778261</v>
      </c>
      <c r="L410" s="24">
        <f t="shared" si="388"/>
        <v>1.3779560882298147E-2</v>
      </c>
      <c r="M410" s="73">
        <f t="shared" si="388"/>
        <v>0.7201630663980132</v>
      </c>
      <c r="N410" s="73">
        <f t="shared" si="388"/>
        <v>0.25781190019193856</v>
      </c>
      <c r="O410" s="73">
        <f t="shared" ref="O410:Y410" si="389">O408/J408-1</f>
        <v>-0.10613890963405537</v>
      </c>
      <c r="P410" s="73">
        <f t="shared" si="389"/>
        <v>1.0620951989308116</v>
      </c>
      <c r="Q410" s="24">
        <f t="shared" si="389"/>
        <v>0.49974117922086614</v>
      </c>
      <c r="R410" s="73">
        <f t="shared" si="389"/>
        <v>0.24671751566330702</v>
      </c>
      <c r="S410" s="73">
        <f t="shared" si="389"/>
        <v>0.43355917719587378</v>
      </c>
      <c r="T410" s="73">
        <f t="shared" si="389"/>
        <v>2.0605240291424374</v>
      </c>
      <c r="U410" s="73">
        <f t="shared" si="389"/>
        <v>0.28779040781732967</v>
      </c>
      <c r="V410" s="24">
        <f t="shared" si="389"/>
        <v>0.60128040973111396</v>
      </c>
      <c r="W410" s="73">
        <f t="shared" si="389"/>
        <v>0.54316428867961641</v>
      </c>
      <c r="X410" s="73">
        <f t="shared" si="389"/>
        <v>-0.24101592438048214</v>
      </c>
      <c r="Y410" s="73">
        <f t="shared" si="389"/>
        <v>-0.68766174912914813</v>
      </c>
      <c r="Z410" s="73">
        <v>-0.63070788409051337</v>
      </c>
      <c r="AA410" s="24">
        <f t="shared" ref="AA410:AI410" si="390">AA408/V408-1</f>
        <v>-0.39842440845785332</v>
      </c>
      <c r="AB410" s="73">
        <f t="shared" si="390"/>
        <v>-0.56516013932546083</v>
      </c>
      <c r="AC410" s="73">
        <f t="shared" si="390"/>
        <v>-0.23864688227539188</v>
      </c>
      <c r="AD410" s="73">
        <f t="shared" si="390"/>
        <v>-0.25147711778484771</v>
      </c>
      <c r="AE410" s="73">
        <f t="shared" si="390"/>
        <v>-0.53100429814445937</v>
      </c>
      <c r="AF410" s="24">
        <f t="shared" si="390"/>
        <v>-0.43850412630897617</v>
      </c>
      <c r="AG410" s="73">
        <f t="shared" si="390"/>
        <v>9.4103090098009989E-3</v>
      </c>
      <c r="AH410" s="73">
        <f t="shared" si="390"/>
        <v>-0.15263603875769072</v>
      </c>
      <c r="AI410" s="73">
        <f t="shared" si="390"/>
        <v>0.26109294722092469</v>
      </c>
      <c r="AJ410" s="73">
        <f t="shared" ref="AJ410:AS410" si="391">AJ408/AE408-1</f>
        <v>0.50880134115674713</v>
      </c>
      <c r="AK410" s="24">
        <v>0.11157998744326303</v>
      </c>
      <c r="AL410" s="73">
        <v>0.70967741935483875</v>
      </c>
      <c r="AM410" s="73">
        <v>0.13043478260869557</v>
      </c>
      <c r="AN410" s="73">
        <v>3.7037037037036979E-2</v>
      </c>
      <c r="AO410" s="73">
        <v>-0.22222222222222221</v>
      </c>
      <c r="AP410" s="24">
        <v>0.18518518518518512</v>
      </c>
      <c r="AQ410" s="73">
        <v>-0.30188679245283023</v>
      </c>
      <c r="AR410" s="73">
        <v>0.26923076923076916</v>
      </c>
      <c r="AS410" s="73">
        <v>-0.1428571428571429</v>
      </c>
      <c r="AT410" s="73">
        <v>0.19047619047619047</v>
      </c>
      <c r="AU410" s="24">
        <v>-7.03125E-2</v>
      </c>
      <c r="AV410" s="73">
        <v>-0.21621621621621623</v>
      </c>
      <c r="AW410" s="73">
        <v>0.39393939393939403</v>
      </c>
      <c r="AX410" s="73">
        <v>0.20833333333333326</v>
      </c>
      <c r="AY410" s="73">
        <v>0.39999999999999991</v>
      </c>
      <c r="AZ410" s="24">
        <v>0.16806722689075637</v>
      </c>
      <c r="BA410" s="73">
        <v>6.8965517241379226E-2</v>
      </c>
    </row>
    <row r="411" spans="1:53">
      <c r="A411" s="69" t="s">
        <v>274</v>
      </c>
      <c r="B411" s="24"/>
      <c r="C411" s="73"/>
      <c r="D411" s="73"/>
      <c r="E411" s="73"/>
      <c r="F411" s="73"/>
      <c r="G411" s="24"/>
      <c r="H411" s="73"/>
      <c r="I411" s="73"/>
      <c r="J411" s="73"/>
      <c r="K411" s="73"/>
      <c r="L411" s="24"/>
      <c r="M411" s="73"/>
      <c r="N411" s="73"/>
      <c r="O411" s="73"/>
      <c r="P411" s="73"/>
      <c r="Q411" s="24"/>
      <c r="R411" s="73"/>
      <c r="S411" s="73"/>
      <c r="T411" s="73"/>
      <c r="U411" s="73"/>
      <c r="V411" s="24"/>
      <c r="W411" s="73"/>
      <c r="X411" s="73"/>
      <c r="Y411" s="73"/>
      <c r="Z411" s="73"/>
      <c r="AA411" s="24"/>
      <c r="AB411" s="73"/>
      <c r="AC411" s="73"/>
      <c r="AD411" s="73"/>
      <c r="AE411" s="73"/>
      <c r="AF411" s="24"/>
      <c r="AG411" s="73"/>
      <c r="AH411" s="73"/>
      <c r="AI411" s="73"/>
      <c r="AJ411" s="73"/>
      <c r="AK411" s="24"/>
      <c r="AL411" s="73"/>
      <c r="AM411" s="73"/>
      <c r="AN411" s="73"/>
      <c r="AO411" s="73"/>
      <c r="AP411" s="24"/>
      <c r="AQ411" s="73"/>
      <c r="AR411" s="73"/>
      <c r="AS411" s="73"/>
      <c r="AT411" s="73"/>
      <c r="AU411" s="24"/>
      <c r="AV411" s="73"/>
      <c r="AW411" s="73"/>
      <c r="AX411" s="73"/>
      <c r="AY411" s="73"/>
      <c r="AZ411" s="24"/>
      <c r="BA411" s="70">
        <v>9</v>
      </c>
    </row>
    <row r="412" spans="1:53" ht="4.5" customHeight="1">
      <c r="A412" s="71"/>
      <c r="B412" s="24"/>
      <c r="C412" s="73"/>
      <c r="D412" s="73"/>
      <c r="E412" s="73"/>
      <c r="F412" s="73"/>
      <c r="G412" s="24"/>
      <c r="H412" s="73"/>
      <c r="I412" s="73"/>
      <c r="J412" s="73"/>
      <c r="K412" s="73"/>
      <c r="L412" s="24"/>
      <c r="M412" s="73"/>
      <c r="N412" s="73"/>
      <c r="O412" s="73"/>
      <c r="P412" s="73"/>
      <c r="Q412" s="24"/>
      <c r="R412" s="73"/>
      <c r="S412" s="73"/>
      <c r="T412" s="73"/>
      <c r="U412" s="73"/>
      <c r="V412" s="24"/>
      <c r="W412" s="73"/>
      <c r="X412" s="73"/>
      <c r="Y412" s="73"/>
      <c r="Z412" s="73"/>
      <c r="AA412" s="24"/>
      <c r="AB412" s="73"/>
      <c r="AC412" s="73"/>
      <c r="AD412" s="73"/>
      <c r="AE412" s="73"/>
      <c r="AF412" s="24"/>
      <c r="AG412" s="73"/>
      <c r="AH412" s="73"/>
      <c r="AI412" s="73"/>
      <c r="AJ412" s="73"/>
      <c r="AK412" s="24"/>
      <c r="AL412" s="73"/>
      <c r="AM412" s="73"/>
      <c r="AN412" s="73"/>
      <c r="AO412" s="73"/>
      <c r="AP412" s="24"/>
      <c r="AQ412" s="73"/>
      <c r="AR412" s="73"/>
      <c r="AS412" s="73"/>
      <c r="AT412" s="73"/>
      <c r="AU412" s="24"/>
      <c r="AV412" s="73"/>
      <c r="AW412" s="73"/>
      <c r="AX412" s="73"/>
      <c r="AY412" s="73"/>
      <c r="AZ412" s="24"/>
      <c r="BA412" s="73"/>
    </row>
    <row r="413" spans="1:53" s="36" customFormat="1">
      <c r="A413" s="69" t="s">
        <v>70</v>
      </c>
      <c r="B413" s="178">
        <f>B399-B408</f>
        <v>-6.8709999999999951</v>
      </c>
      <c r="C413" s="186">
        <f>C399-C408</f>
        <v>-19.988999999999997</v>
      </c>
      <c r="D413" s="186">
        <f>D399-D408</f>
        <v>20.009999999999998</v>
      </c>
      <c r="E413" s="186">
        <f>E399-E408</f>
        <v>-1.4210000000000029</v>
      </c>
      <c r="F413" s="186">
        <f>G413-E413-D413-C413</f>
        <v>46.7</v>
      </c>
      <c r="G413" s="37">
        <f>G399-G408</f>
        <v>45.3</v>
      </c>
      <c r="H413" s="70">
        <f>H399-H408</f>
        <v>62.167999999999999</v>
      </c>
      <c r="I413" s="70">
        <f>I399-I408</f>
        <v>56.638000000000005</v>
      </c>
      <c r="J413" s="70">
        <f>J399-J408</f>
        <v>47.985999999999997</v>
      </c>
      <c r="K413" s="70">
        <f>L413-J413-I413-H413</f>
        <v>33.001000000000012</v>
      </c>
      <c r="L413" s="37">
        <f>L399-L408</f>
        <v>199.79300000000001</v>
      </c>
      <c r="M413" s="70">
        <f>M399-M408</f>
        <v>22.769999999999996</v>
      </c>
      <c r="N413" s="70">
        <f>N399-N408</f>
        <v>33.091000000000001</v>
      </c>
      <c r="O413" s="70">
        <f>O399-O408</f>
        <v>44.709000000000003</v>
      </c>
      <c r="P413" s="70">
        <f>Q413-O413-N413-M413</f>
        <v>9.8759999999999977</v>
      </c>
      <c r="Q413" s="37">
        <f>Q399-Q408</f>
        <v>110.446</v>
      </c>
      <c r="R413" s="186">
        <f>R399-R408</f>
        <v>-3.7690000000000055</v>
      </c>
      <c r="S413" s="186">
        <f>S399-S408</f>
        <v>21.143999999999998</v>
      </c>
      <c r="T413" s="186">
        <f>T399-T408</f>
        <v>-34.127000000000002</v>
      </c>
      <c r="U413" s="186">
        <f>V413-(SUM(R413:T413))</f>
        <v>-27.394000000000005</v>
      </c>
      <c r="V413" s="178">
        <f>V399-V408</f>
        <v>-44.146000000000015</v>
      </c>
      <c r="W413" s="186">
        <f>W399-W408</f>
        <v>-12.209000000000003</v>
      </c>
      <c r="X413" s="186">
        <f>X399-X408</f>
        <v>28.560000000000002</v>
      </c>
      <c r="Y413" s="186">
        <f>Y399-Y408</f>
        <v>34.533000000000001</v>
      </c>
      <c r="Z413" s="186">
        <f>AA413-Y413-X413-W413</f>
        <v>48.165999999999954</v>
      </c>
      <c r="AA413" s="37">
        <f>AA399-AA408</f>
        <v>99.049999999999955</v>
      </c>
      <c r="AB413" s="70">
        <f>AB399-AB408</f>
        <v>27.601000000000003</v>
      </c>
      <c r="AC413" s="70">
        <f>AC399-AC408</f>
        <v>54.055999999999997</v>
      </c>
      <c r="AD413" s="70">
        <f>AD399-AD408</f>
        <v>50.08</v>
      </c>
      <c r="AE413" s="70">
        <f>AF413-AD413-AC413-AB413</f>
        <v>58.828999999999994</v>
      </c>
      <c r="AF413" s="37">
        <f>AF399-AF408</f>
        <v>190.56599999999997</v>
      </c>
      <c r="AG413" s="70">
        <f>AG399-AG408</f>
        <v>43</v>
      </c>
      <c r="AH413" s="70">
        <f>AH399-AH408</f>
        <v>72</v>
      </c>
      <c r="AI413" s="70">
        <f>AI399-AI408</f>
        <v>44</v>
      </c>
      <c r="AJ413" s="147">
        <f>AK413-AI413-AH413-AG413</f>
        <v>45</v>
      </c>
      <c r="AK413" s="37">
        <v>204</v>
      </c>
      <c r="AL413" s="70">
        <v>9</v>
      </c>
      <c r="AM413" s="70">
        <v>48</v>
      </c>
      <c r="AN413" s="70">
        <v>41</v>
      </c>
      <c r="AO413" s="70">
        <v>75</v>
      </c>
      <c r="AP413" s="37">
        <v>173</v>
      </c>
      <c r="AQ413" s="70">
        <v>12</v>
      </c>
      <c r="AR413" s="70">
        <v>36</v>
      </c>
      <c r="AS413" s="70">
        <v>41</v>
      </c>
      <c r="AT413" s="70">
        <v>61</v>
      </c>
      <c r="AU413" s="37">
        <v>150</v>
      </c>
      <c r="AV413" s="70">
        <v>23</v>
      </c>
      <c r="AW413" s="70">
        <v>23</v>
      </c>
      <c r="AX413" s="70">
        <v>45</v>
      </c>
      <c r="AY413" s="70">
        <v>47</v>
      </c>
      <c r="AZ413" s="37">
        <v>138</v>
      </c>
      <c r="BA413" s="70">
        <v>27</v>
      </c>
    </row>
    <row r="414" spans="1:53">
      <c r="A414" s="71" t="s">
        <v>7</v>
      </c>
      <c r="B414" s="24"/>
      <c r="C414" s="72"/>
      <c r="D414" s="85" t="s">
        <v>44</v>
      </c>
      <c r="E414" s="85" t="s">
        <v>44</v>
      </c>
      <c r="F414" s="85" t="s">
        <v>44</v>
      </c>
      <c r="G414" s="24"/>
      <c r="H414" s="72">
        <f>H413/F413-1</f>
        <v>0.33122055674518203</v>
      </c>
      <c r="I414" s="72">
        <f>I413/H413-1</f>
        <v>-8.8952515763736861E-2</v>
      </c>
      <c r="J414" s="72">
        <f>J413/I413-1</f>
        <v>-0.15275963134291481</v>
      </c>
      <c r="K414" s="72">
        <f>K413/J413-1</f>
        <v>-0.31227858125286512</v>
      </c>
      <c r="L414" s="24"/>
      <c r="M414" s="72">
        <f>M413/K413-1</f>
        <v>-0.31002090845731989</v>
      </c>
      <c r="N414" s="72">
        <f>N413/M413-1</f>
        <v>0.45327184892402306</v>
      </c>
      <c r="O414" s="72">
        <f>O413/N413-1</f>
        <v>0.35109244205373069</v>
      </c>
      <c r="P414" s="72">
        <f>P413/O413-1</f>
        <v>-0.77910487821244057</v>
      </c>
      <c r="Q414" s="24"/>
      <c r="R414" s="85" t="s">
        <v>44</v>
      </c>
      <c r="S414" s="85" t="s">
        <v>44</v>
      </c>
      <c r="T414" s="85" t="s">
        <v>44</v>
      </c>
      <c r="U414" s="72">
        <f>U413/T413-1</f>
        <v>-0.19729246637559694</v>
      </c>
      <c r="V414" s="24"/>
      <c r="W414" s="72">
        <f>W413/U413-1</f>
        <v>-0.55431846389720374</v>
      </c>
      <c r="X414" s="85" t="s">
        <v>44</v>
      </c>
      <c r="Y414" s="72">
        <f>Y413/X413-1</f>
        <v>0.2091386554621848</v>
      </c>
      <c r="Z414" s="72">
        <v>0.39478180291315423</v>
      </c>
      <c r="AA414" s="24"/>
      <c r="AB414" s="72">
        <f>AB413/Z413-1</f>
        <v>-0.42696092679483388</v>
      </c>
      <c r="AC414" s="72">
        <f>AC413/AB413-1</f>
        <v>0.9584797652258974</v>
      </c>
      <c r="AD414" s="72">
        <f>AD413/AC413-1</f>
        <v>-7.3553352079325118E-2</v>
      </c>
      <c r="AE414" s="72">
        <f>AE413/AD413-1</f>
        <v>0.17470047923322674</v>
      </c>
      <c r="AF414" s="24"/>
      <c r="AG414" s="72">
        <f>AG413/AE413-1</f>
        <v>-0.26906797667816884</v>
      </c>
      <c r="AH414" s="72">
        <f>AH413/AG413-1</f>
        <v>0.67441860465116288</v>
      </c>
      <c r="AI414" s="72">
        <f>AI413/AH413-1</f>
        <v>-0.38888888888888884</v>
      </c>
      <c r="AJ414" s="72">
        <f>AJ413/AI413-1</f>
        <v>2.2727272727272707E-2</v>
      </c>
      <c r="AK414" s="24"/>
      <c r="AL414" s="72">
        <v>-0.8</v>
      </c>
      <c r="AM414" s="72">
        <v>4.333333333333333</v>
      </c>
      <c r="AN414" s="72">
        <v>-0.14583333333333337</v>
      </c>
      <c r="AO414" s="72">
        <v>0.8292682926829269</v>
      </c>
      <c r="AP414" s="24"/>
      <c r="AQ414" s="72">
        <v>-0.84</v>
      </c>
      <c r="AR414" s="72">
        <v>2</v>
      </c>
      <c r="AS414" s="72">
        <v>0.13888888888888884</v>
      </c>
      <c r="AT414" s="72">
        <v>0.48780487804878048</v>
      </c>
      <c r="AU414" s="24"/>
      <c r="AV414" s="72">
        <v>-0.62295081967213117</v>
      </c>
      <c r="AW414" s="72">
        <v>0</v>
      </c>
      <c r="AX414" s="72">
        <v>0.95652173913043481</v>
      </c>
      <c r="AY414" s="72">
        <v>4.4444444444444509E-2</v>
      </c>
      <c r="AZ414" s="24"/>
      <c r="BA414" s="72">
        <v>-0.42553191489361697</v>
      </c>
    </row>
    <row r="415" spans="1:53">
      <c r="A415" s="71" t="s">
        <v>8</v>
      </c>
      <c r="B415" s="24"/>
      <c r="C415" s="73"/>
      <c r="D415" s="73"/>
      <c r="E415" s="73"/>
      <c r="F415" s="73"/>
      <c r="G415" s="92" t="s">
        <v>44</v>
      </c>
      <c r="H415" s="83" t="s">
        <v>49</v>
      </c>
      <c r="I415" s="73">
        <f t="shared" ref="I415:N415" si="392">I413/D413-1</f>
        <v>1.83048475762119</v>
      </c>
      <c r="J415" s="73">
        <f t="shared" si="392"/>
        <v>-34.769176636171636</v>
      </c>
      <c r="K415" s="73">
        <f t="shared" si="392"/>
        <v>-0.29334047109207684</v>
      </c>
      <c r="L415" s="24">
        <f t="shared" si="392"/>
        <v>3.4104415011037528</v>
      </c>
      <c r="M415" s="73">
        <f t="shared" si="392"/>
        <v>-0.63373439711748814</v>
      </c>
      <c r="N415" s="73">
        <f t="shared" si="392"/>
        <v>-0.4157456124863167</v>
      </c>
      <c r="O415" s="73">
        <f t="shared" ref="O415:X415" si="393">O413/J413-1</f>
        <v>-6.8290751469178401E-2</v>
      </c>
      <c r="P415" s="73">
        <f t="shared" si="393"/>
        <v>-0.70073634132299034</v>
      </c>
      <c r="Q415" s="24">
        <f t="shared" si="393"/>
        <v>-0.4471978497745166</v>
      </c>
      <c r="R415" s="85" t="s">
        <v>44</v>
      </c>
      <c r="S415" s="73">
        <f t="shared" si="393"/>
        <v>-0.36103472243208135</v>
      </c>
      <c r="T415" s="85" t="s">
        <v>44</v>
      </c>
      <c r="U415" s="85" t="s">
        <v>44</v>
      </c>
      <c r="V415" s="92" t="s">
        <v>44</v>
      </c>
      <c r="W415" s="73">
        <f t="shared" si="393"/>
        <v>2.2393207747413069</v>
      </c>
      <c r="X415" s="73">
        <f t="shared" si="393"/>
        <v>0.35073779795686733</v>
      </c>
      <c r="Y415" s="85" t="s">
        <v>44</v>
      </c>
      <c r="Z415" s="85" t="s">
        <v>44</v>
      </c>
      <c r="AA415" s="92" t="s">
        <v>44</v>
      </c>
      <c r="AB415" s="85" t="s">
        <v>44</v>
      </c>
      <c r="AC415" s="73">
        <f t="shared" ref="AC415:AI415" si="394">AC413/X413-1</f>
        <v>0.89271708683473361</v>
      </c>
      <c r="AD415" s="73">
        <f t="shared" si="394"/>
        <v>0.45020704833058223</v>
      </c>
      <c r="AE415" s="73">
        <f t="shared" si="394"/>
        <v>0.22138022671594171</v>
      </c>
      <c r="AF415" s="24">
        <f t="shared" si="394"/>
        <v>0.92393740535083357</v>
      </c>
      <c r="AG415" s="73">
        <f t="shared" si="394"/>
        <v>0.55791456831274222</v>
      </c>
      <c r="AH415" s="73">
        <f t="shared" si="394"/>
        <v>0.33195204972620984</v>
      </c>
      <c r="AI415" s="73">
        <f t="shared" si="394"/>
        <v>-0.12140575079872207</v>
      </c>
      <c r="AJ415" s="73">
        <f t="shared" ref="AJ415:AS415" si="395">AJ413/AE413-1</f>
        <v>-0.23507113838413018</v>
      </c>
      <c r="AK415" s="24">
        <v>7.0495261484210259E-2</v>
      </c>
      <c r="AL415" s="73">
        <v>-0.79069767441860461</v>
      </c>
      <c r="AM415" s="73">
        <v>-0.33333333333333337</v>
      </c>
      <c r="AN415" s="73">
        <v>-6.8181818181818232E-2</v>
      </c>
      <c r="AO415" s="73">
        <v>0.66666666666666674</v>
      </c>
      <c r="AP415" s="24">
        <v>-0.15196078431372551</v>
      </c>
      <c r="AQ415" s="73">
        <v>0.33333333333333326</v>
      </c>
      <c r="AR415" s="73">
        <v>-0.25</v>
      </c>
      <c r="AS415" s="73">
        <v>0</v>
      </c>
      <c r="AT415" s="73">
        <v>-0.18666666666666665</v>
      </c>
      <c r="AU415" s="24">
        <v>-0.13294797687861271</v>
      </c>
      <c r="AV415" s="73">
        <v>0.91666666666666674</v>
      </c>
      <c r="AW415" s="73">
        <v>-0.36111111111111116</v>
      </c>
      <c r="AX415" s="73">
        <v>9.7560975609756184E-2</v>
      </c>
      <c r="AY415" s="73">
        <v>-0.22950819672131151</v>
      </c>
      <c r="AZ415" s="24">
        <v>-7.999999999999996E-2</v>
      </c>
      <c r="BA415" s="73">
        <v>0.17391304347826098</v>
      </c>
    </row>
    <row r="416" spans="1:53" ht="11.25" customHeight="1">
      <c r="A416" s="50" t="s">
        <v>20</v>
      </c>
      <c r="B416" s="41"/>
      <c r="C416" s="41"/>
      <c r="D416" s="41"/>
      <c r="E416" s="41"/>
      <c r="F416" s="41"/>
      <c r="G416" s="41"/>
      <c r="H416" s="41"/>
      <c r="I416" s="41"/>
      <c r="J416" s="41"/>
      <c r="K416" s="41"/>
      <c r="L416" s="41"/>
      <c r="M416" s="41"/>
      <c r="N416" s="41"/>
      <c r="O416" s="41"/>
      <c r="P416" s="41"/>
      <c r="Q416" s="41"/>
      <c r="R416" s="41"/>
      <c r="S416" s="41"/>
      <c r="T416" s="41"/>
      <c r="U416" s="41"/>
      <c r="V416" s="41"/>
      <c r="W416" s="41"/>
      <c r="X416" s="41"/>
      <c r="Y416" s="41"/>
      <c r="Z416" s="41"/>
      <c r="AA416" s="41"/>
      <c r="AB416" s="41"/>
      <c r="AC416" s="41"/>
      <c r="AD416" s="41"/>
      <c r="AE416" s="41"/>
      <c r="AF416" s="41"/>
      <c r="AG416" s="41"/>
      <c r="AH416" s="41"/>
      <c r="AI416" s="41"/>
      <c r="AJ416" s="41"/>
      <c r="AK416" s="41"/>
      <c r="AL416" s="41"/>
      <c r="AM416" s="41"/>
      <c r="AN416" s="41"/>
      <c r="AO416" s="41"/>
      <c r="AP416" s="41"/>
      <c r="AQ416" s="41"/>
      <c r="AR416" s="41"/>
      <c r="AS416" s="41"/>
      <c r="AT416" s="41"/>
      <c r="AU416" s="41"/>
      <c r="AV416" s="41"/>
      <c r="AW416" s="41"/>
      <c r="AX416" s="41"/>
      <c r="AY416" s="41"/>
      <c r="AZ416" s="41"/>
      <c r="BA416" s="41"/>
    </row>
    <row r="417" spans="1:53" s="36" customFormat="1">
      <c r="A417" s="36" t="s">
        <v>109</v>
      </c>
      <c r="B417" s="56">
        <f>B371/B354</f>
        <v>0.34135635839502676</v>
      </c>
      <c r="C417" s="80" t="s">
        <v>53</v>
      </c>
      <c r="D417" s="80" t="s">
        <v>53</v>
      </c>
      <c r="E417" s="80" t="s">
        <v>53</v>
      </c>
      <c r="F417" s="80" t="s">
        <v>53</v>
      </c>
      <c r="G417" s="56">
        <f t="shared" ref="G417:AS417" si="396">G371/G354</f>
        <v>0.40282467400685723</v>
      </c>
      <c r="H417" s="56">
        <f t="shared" si="396"/>
        <v>0.3852198835095072</v>
      </c>
      <c r="I417" s="56">
        <f t="shared" si="396"/>
        <v>0.41932827894818997</v>
      </c>
      <c r="J417" s="56">
        <f t="shared" si="396"/>
        <v>0.41204990315323448</v>
      </c>
      <c r="K417" s="56">
        <f t="shared" si="396"/>
        <v>0.42517388713729226</v>
      </c>
      <c r="L417" s="56">
        <f t="shared" si="396"/>
        <v>0.41057383195159936</v>
      </c>
      <c r="M417" s="56">
        <f t="shared" si="396"/>
        <v>0.38761949172301235</v>
      </c>
      <c r="N417" s="56">
        <f t="shared" si="396"/>
        <v>0.4147058823529412</v>
      </c>
      <c r="O417" s="56">
        <f t="shared" si="396"/>
        <v>0.40014163286573373</v>
      </c>
      <c r="P417" s="56">
        <f t="shared" si="396"/>
        <v>0.41431885979449773</v>
      </c>
      <c r="Q417" s="56">
        <f t="shared" si="396"/>
        <v>0.40421045311412279</v>
      </c>
      <c r="R417" s="78">
        <f t="shared" si="396"/>
        <v>0.41286311462719372</v>
      </c>
      <c r="S417" s="78">
        <f t="shared" si="396"/>
        <v>0.41811930538050363</v>
      </c>
      <c r="T417" s="78">
        <f t="shared" si="396"/>
        <v>0.40492987869213354</v>
      </c>
      <c r="U417" s="78">
        <f t="shared" si="396"/>
        <v>0.43685278354384338</v>
      </c>
      <c r="V417" s="56">
        <f t="shared" si="396"/>
        <v>0.41814359021337139</v>
      </c>
      <c r="W417" s="78">
        <f t="shared" si="396"/>
        <v>0.39376079850220641</v>
      </c>
      <c r="X417" s="78">
        <f t="shared" si="396"/>
        <v>0.40929803870443526</v>
      </c>
      <c r="Y417" s="78">
        <f t="shared" si="396"/>
        <v>0.41089161551776088</v>
      </c>
      <c r="Z417" s="78">
        <f t="shared" si="396"/>
        <v>0.41085924337570812</v>
      </c>
      <c r="AA417" s="56">
        <f t="shared" si="396"/>
        <v>0.40624438015486708</v>
      </c>
      <c r="AB417" s="78">
        <f t="shared" si="396"/>
        <v>0.39832337893835218</v>
      </c>
      <c r="AC417" s="78">
        <f t="shared" si="396"/>
        <v>0.39094451753896925</v>
      </c>
      <c r="AD417" s="78">
        <f t="shared" si="396"/>
        <v>0.38239661424154114</v>
      </c>
      <c r="AE417" s="78">
        <f t="shared" si="396"/>
        <v>0.375655135202553</v>
      </c>
      <c r="AF417" s="56">
        <f t="shared" si="396"/>
        <v>0.38664299209707692</v>
      </c>
      <c r="AG417" s="78">
        <f t="shared" si="396"/>
        <v>0.38591549295774646</v>
      </c>
      <c r="AH417" s="78">
        <f t="shared" si="396"/>
        <v>0.37534246575342467</v>
      </c>
      <c r="AI417" s="78">
        <f t="shared" si="396"/>
        <v>0.36103896103896105</v>
      </c>
      <c r="AJ417" s="78">
        <f t="shared" si="396"/>
        <v>0.35087719298245612</v>
      </c>
      <c r="AK417" s="56">
        <v>0.36768617021276595</v>
      </c>
      <c r="AL417" s="78">
        <v>0.361323155216285</v>
      </c>
      <c r="AM417" s="78">
        <v>0.36061381074168797</v>
      </c>
      <c r="AN417" s="78">
        <v>0.35475578406169667</v>
      </c>
      <c r="AO417" s="78">
        <v>0.35061728395061731</v>
      </c>
      <c r="AP417" s="56">
        <v>0.35678073510773128</v>
      </c>
      <c r="AQ417" s="78">
        <v>0.3468354430379747</v>
      </c>
      <c r="AR417" s="78">
        <v>0.34748010610079577</v>
      </c>
      <c r="AS417" s="78">
        <v>0.33333333333333331</v>
      </c>
      <c r="AT417" s="78">
        <v>0.34948979591836737</v>
      </c>
      <c r="AU417" s="56">
        <v>0.34431524547803616</v>
      </c>
      <c r="AV417" s="78">
        <v>0.328125</v>
      </c>
      <c r="AW417" s="78">
        <v>0.29238329238329236</v>
      </c>
      <c r="AX417" s="78">
        <v>0.31062670299727518</v>
      </c>
      <c r="AY417" s="78">
        <v>0.31662269129287601</v>
      </c>
      <c r="AZ417" s="56">
        <v>0.31164606376057252</v>
      </c>
      <c r="BA417" s="78">
        <v>0.32386363636363635</v>
      </c>
    </row>
    <row r="418" spans="1:53" s="36" customFormat="1" ht="11.25" customHeight="1">
      <c r="A418" s="69" t="s">
        <v>31</v>
      </c>
      <c r="B418" s="56">
        <f t="shared" ref="B418:Y418" si="397">B387/B354</f>
        <v>0.15616554786161335</v>
      </c>
      <c r="C418" s="78">
        <f t="shared" si="397"/>
        <v>0.17457789104810451</v>
      </c>
      <c r="D418" s="78">
        <f t="shared" si="397"/>
        <v>0.19199160370468116</v>
      </c>
      <c r="E418" s="78">
        <f t="shared" si="397"/>
        <v>0.17971432307584698</v>
      </c>
      <c r="F418" s="78">
        <f t="shared" si="397"/>
        <v>0.19294874076183022</v>
      </c>
      <c r="G418" s="56">
        <f t="shared" si="397"/>
        <v>0.18496085478476831</v>
      </c>
      <c r="H418" s="78">
        <f t="shared" si="397"/>
        <v>0.18538938025825139</v>
      </c>
      <c r="I418" s="78">
        <f t="shared" si="397"/>
        <v>0.2068971849911084</v>
      </c>
      <c r="J418" s="78">
        <f t="shared" si="397"/>
        <v>0.19960358994718541</v>
      </c>
      <c r="K418" s="78">
        <f t="shared" si="397"/>
        <v>0.1996939945685533</v>
      </c>
      <c r="L418" s="56">
        <f t="shared" si="397"/>
        <v>0.19793453282617476</v>
      </c>
      <c r="M418" s="78">
        <f t="shared" si="397"/>
        <v>0.17936581953835393</v>
      </c>
      <c r="N418" s="78">
        <f t="shared" si="397"/>
        <v>0.36380882352941174</v>
      </c>
      <c r="O418" s="78">
        <f t="shared" si="397"/>
        <v>0.20019172253776157</v>
      </c>
      <c r="P418" s="78">
        <f t="shared" si="397"/>
        <v>0.18587201261815234</v>
      </c>
      <c r="Q418" s="56">
        <f t="shared" si="397"/>
        <v>0.23168285560921686</v>
      </c>
      <c r="R418" s="78">
        <f t="shared" si="397"/>
        <v>0.18473802924649446</v>
      </c>
      <c r="S418" s="78">
        <f t="shared" si="397"/>
        <v>0.18144873827235511</v>
      </c>
      <c r="T418" s="78">
        <f t="shared" si="397"/>
        <v>0.17499244321001031</v>
      </c>
      <c r="U418" s="78">
        <f t="shared" si="397"/>
        <v>0.17179162415414739</v>
      </c>
      <c r="V418" s="56">
        <f t="shared" si="397"/>
        <v>0.17814320605318254</v>
      </c>
      <c r="W418" s="78">
        <f t="shared" si="397"/>
        <v>0.14922852791205882</v>
      </c>
      <c r="X418" s="78">
        <f t="shared" si="397"/>
        <v>0.16056913650241181</v>
      </c>
      <c r="Y418" s="78">
        <f t="shared" si="397"/>
        <v>0.16216319996219217</v>
      </c>
      <c r="Z418" s="78">
        <v>0.18149793230203701</v>
      </c>
      <c r="AA418" s="56">
        <f t="shared" ref="AA418:AS418" si="398">AA387/AA354</f>
        <v>0.16346259319149001</v>
      </c>
      <c r="AB418" s="78">
        <f t="shared" si="398"/>
        <v>0.16190071069750211</v>
      </c>
      <c r="AC418" s="78">
        <f t="shared" si="398"/>
        <v>0.16787737216510937</v>
      </c>
      <c r="AD418" s="78">
        <f t="shared" si="398"/>
        <v>0.15261773407781459</v>
      </c>
      <c r="AE418" s="78">
        <f t="shared" si="398"/>
        <v>0.15294576985334196</v>
      </c>
      <c r="AF418" s="56">
        <f t="shared" si="398"/>
        <v>0.15876199868645224</v>
      </c>
      <c r="AG418" s="78">
        <f t="shared" si="398"/>
        <v>0.16338028169014085</v>
      </c>
      <c r="AH418" s="78">
        <f t="shared" si="398"/>
        <v>0.15890410958904111</v>
      </c>
      <c r="AI418" s="78">
        <f t="shared" si="398"/>
        <v>0.15324675324675324</v>
      </c>
      <c r="AJ418" s="78">
        <f t="shared" si="398"/>
        <v>0.14285714285714285</v>
      </c>
      <c r="AK418" s="56">
        <v>0.15425531914893617</v>
      </c>
      <c r="AL418" s="78">
        <v>0.15521628498727735</v>
      </c>
      <c r="AM418" s="78">
        <v>0.15856777493606139</v>
      </c>
      <c r="AN418" s="78">
        <v>0.15167095115681234</v>
      </c>
      <c r="AO418" s="78">
        <v>0.14320987654320988</v>
      </c>
      <c r="AP418" s="56">
        <v>0.15209125475285171</v>
      </c>
      <c r="AQ418" s="78">
        <v>9.3670886075949367E-2</v>
      </c>
      <c r="AR418" s="78">
        <v>0.12466843501326259</v>
      </c>
      <c r="AS418" s="78">
        <v>0.1171875</v>
      </c>
      <c r="AT418" s="78">
        <v>0.11989795918367346</v>
      </c>
      <c r="AU418" s="56">
        <v>0.11369509043927649</v>
      </c>
      <c r="AV418" s="78">
        <v>0.12760416666666666</v>
      </c>
      <c r="AW418" s="78">
        <v>0.11056511056511056</v>
      </c>
      <c r="AX418" s="78">
        <v>0.10626702997275204</v>
      </c>
      <c r="AY418" s="78">
        <v>0.10817941952506596</v>
      </c>
      <c r="AZ418" s="56">
        <v>0.11320754716981132</v>
      </c>
      <c r="BA418" s="78">
        <v>9.6590909090909088E-2</v>
      </c>
    </row>
    <row r="419" spans="1:53" s="36" customFormat="1" ht="10.5" customHeight="1">
      <c r="A419" s="69" t="s">
        <v>39</v>
      </c>
      <c r="B419" s="56">
        <f t="shared" ref="B419:Y419" si="399">B390/B354</f>
        <v>0.1173805617114764</v>
      </c>
      <c r="C419" s="78">
        <f t="shared" si="399"/>
        <v>0.13220770946161198</v>
      </c>
      <c r="D419" s="78">
        <f t="shared" si="399"/>
        <v>0.14440645925525841</v>
      </c>
      <c r="E419" s="78">
        <f t="shared" si="399"/>
        <v>0.13382476819540617</v>
      </c>
      <c r="F419" s="78">
        <f t="shared" si="399"/>
        <v>0.13579071615834487</v>
      </c>
      <c r="G419" s="56">
        <f t="shared" si="399"/>
        <v>0.13658436841149996</v>
      </c>
      <c r="H419" s="78">
        <f t="shared" si="399"/>
        <v>0.13587167555240531</v>
      </c>
      <c r="I419" s="78">
        <f t="shared" si="399"/>
        <v>0.17077373719441832</v>
      </c>
      <c r="J419" s="78">
        <f t="shared" si="399"/>
        <v>0.15248553313843674</v>
      </c>
      <c r="K419" s="78">
        <f t="shared" si="399"/>
        <v>0.14796650108838524</v>
      </c>
      <c r="L419" s="56">
        <f t="shared" si="399"/>
        <v>0.15178330201537871</v>
      </c>
      <c r="M419" s="78">
        <f t="shared" si="399"/>
        <v>0.13543075308929819</v>
      </c>
      <c r="N419" s="78">
        <f t="shared" si="399"/>
        <v>0.31830294117647057</v>
      </c>
      <c r="O419" s="78">
        <f t="shared" si="399"/>
        <v>0.15378968670925247</v>
      </c>
      <c r="P419" s="78">
        <f t="shared" si="399"/>
        <v>0.13102762506714821</v>
      </c>
      <c r="Q419" s="56">
        <f t="shared" si="399"/>
        <v>0.1839744318778618</v>
      </c>
      <c r="R419" s="78">
        <f t="shared" si="399"/>
        <v>0.13953558971120833</v>
      </c>
      <c r="S419" s="78">
        <f t="shared" si="399"/>
        <v>0.13941421184510938</v>
      </c>
      <c r="T419" s="78">
        <f t="shared" si="399"/>
        <v>0.13094348661735267</v>
      </c>
      <c r="U419" s="78">
        <f t="shared" si="399"/>
        <v>0.1289800513668507</v>
      </c>
      <c r="V419" s="56">
        <f t="shared" si="399"/>
        <v>0.1346200729608851</v>
      </c>
      <c r="W419" s="78">
        <f t="shared" si="399"/>
        <v>0.10777431958148467</v>
      </c>
      <c r="X419" s="78">
        <f t="shared" si="399"/>
        <v>0.11785661228561119</v>
      </c>
      <c r="Y419" s="78">
        <f t="shared" si="399"/>
        <v>0.11900612605374623</v>
      </c>
      <c r="Z419" s="78">
        <v>0.13145492889711002</v>
      </c>
      <c r="AA419" s="56">
        <f t="shared" ref="AA419:AS419" si="400">AA390/AA354</f>
        <v>0.11909258669205749</v>
      </c>
      <c r="AB419" s="78">
        <f t="shared" si="400"/>
        <v>0.10847396809963654</v>
      </c>
      <c r="AC419" s="78">
        <f t="shared" si="400"/>
        <v>0.12140412104453313</v>
      </c>
      <c r="AD419" s="78">
        <f t="shared" si="400"/>
        <v>0.10780426222943963</v>
      </c>
      <c r="AE419" s="78">
        <f t="shared" si="400"/>
        <v>0.10405702557094716</v>
      </c>
      <c r="AF419" s="56">
        <f t="shared" si="400"/>
        <v>0.11040641111811392</v>
      </c>
      <c r="AG419" s="78">
        <f t="shared" si="400"/>
        <v>0.11830985915492957</v>
      </c>
      <c r="AH419" s="78">
        <f t="shared" si="400"/>
        <v>0.11232876712328767</v>
      </c>
      <c r="AI419" s="78">
        <f t="shared" si="400"/>
        <v>0.10909090909090909</v>
      </c>
      <c r="AJ419" s="78">
        <f t="shared" si="400"/>
        <v>0.10025062656641603</v>
      </c>
      <c r="AK419" s="56">
        <v>0.10970744680851063</v>
      </c>
      <c r="AL419" s="78">
        <v>0.11195928753180662</v>
      </c>
      <c r="AM419" s="78">
        <v>0.11508951406649616</v>
      </c>
      <c r="AN419" s="78">
        <v>0.10539845758354756</v>
      </c>
      <c r="AO419" s="78">
        <v>0.1037037037037037</v>
      </c>
      <c r="AP419" s="56">
        <v>0.10899873257287707</v>
      </c>
      <c r="AQ419" s="78">
        <v>6.5822784810126586E-2</v>
      </c>
      <c r="AR419" s="78">
        <v>8.7533156498673742E-2</v>
      </c>
      <c r="AS419" s="78">
        <v>8.59375E-2</v>
      </c>
      <c r="AT419" s="78">
        <v>8.4183673469387751E-2</v>
      </c>
      <c r="AU419" s="56">
        <v>8.0749354005167959E-2</v>
      </c>
      <c r="AV419" s="78">
        <v>9.375E-2</v>
      </c>
      <c r="AW419" s="78">
        <v>8.1081081081081086E-2</v>
      </c>
      <c r="AX419" s="78">
        <v>7.3569482288828342E-2</v>
      </c>
      <c r="AY419" s="78">
        <v>8.1794195250659632E-2</v>
      </c>
      <c r="AZ419" s="56">
        <v>8.2628497072218601E-2</v>
      </c>
      <c r="BA419" s="78">
        <v>6.8181818181818177E-2</v>
      </c>
    </row>
    <row r="420" spans="1:53" s="36" customFormat="1" ht="10.5" customHeight="1">
      <c r="A420" s="69" t="s">
        <v>10</v>
      </c>
      <c r="B420" s="56">
        <f t="shared" ref="B420:Y420" si="401">B393/B354</f>
        <v>0.22259349520528557</v>
      </c>
      <c r="C420" s="78">
        <f t="shared" si="401"/>
        <v>0.23829244982478498</v>
      </c>
      <c r="D420" s="78">
        <f t="shared" si="401"/>
        <v>0.25434084785397315</v>
      </c>
      <c r="E420" s="78">
        <f t="shared" si="401"/>
        <v>0.24024352786976974</v>
      </c>
      <c r="F420" s="78">
        <f t="shared" si="401"/>
        <v>0.25185059966546863</v>
      </c>
      <c r="G420" s="56">
        <f t="shared" si="401"/>
        <v>0.24628976266274769</v>
      </c>
      <c r="H420" s="78">
        <f t="shared" si="401"/>
        <v>0.2458350026194952</v>
      </c>
      <c r="I420" s="78">
        <f t="shared" si="401"/>
        <v>0.27017596483764039</v>
      </c>
      <c r="J420" s="78">
        <f t="shared" si="401"/>
        <v>0.26396758941783666</v>
      </c>
      <c r="K420" s="78">
        <f t="shared" si="401"/>
        <v>0.26720082878966184</v>
      </c>
      <c r="L420" s="56">
        <f t="shared" si="401"/>
        <v>0.26186110613599184</v>
      </c>
      <c r="M420" s="78">
        <f t="shared" si="401"/>
        <v>0.24519993005362553</v>
      </c>
      <c r="N420" s="78">
        <f t="shared" si="401"/>
        <v>0.43145588235294113</v>
      </c>
      <c r="O420" s="78">
        <f t="shared" si="401"/>
        <v>0.26789914127878356</v>
      </c>
      <c r="P420" s="78">
        <f t="shared" si="401"/>
        <v>0.25716343021727445</v>
      </c>
      <c r="Q420" s="56">
        <f t="shared" si="401"/>
        <v>0.29998645387908024</v>
      </c>
      <c r="R420" s="78">
        <f t="shared" si="401"/>
        <v>0.25840373762549068</v>
      </c>
      <c r="S420" s="78">
        <f t="shared" si="401"/>
        <v>0.2608703499267539</v>
      </c>
      <c r="T420" s="78">
        <f t="shared" si="401"/>
        <v>0.25476077769349659</v>
      </c>
      <c r="U420" s="78">
        <f t="shared" si="401"/>
        <v>0.26046394351991908</v>
      </c>
      <c r="V420" s="56">
        <f t="shared" si="401"/>
        <v>0.25858487206726938</v>
      </c>
      <c r="W420" s="78">
        <f t="shared" si="401"/>
        <v>0.25264130611458602</v>
      </c>
      <c r="X420" s="78">
        <f t="shared" si="401"/>
        <v>0.26499167760654629</v>
      </c>
      <c r="Y420" s="78">
        <f t="shared" si="401"/>
        <v>0.26407604104515087</v>
      </c>
      <c r="Z420" s="78">
        <v>0.27891242621676071</v>
      </c>
      <c r="AA420" s="56">
        <f t="shared" ref="AA420:AS420" si="402">AA393/AA354</f>
        <v>0.26522534972692685</v>
      </c>
      <c r="AB420" s="78">
        <f t="shared" si="402"/>
        <v>0.25245098039215685</v>
      </c>
      <c r="AC420" s="78">
        <f t="shared" si="402"/>
        <v>0.25856042191646411</v>
      </c>
      <c r="AD420" s="78">
        <f t="shared" si="402"/>
        <v>0.24424120748337153</v>
      </c>
      <c r="AE420" s="78">
        <f t="shared" si="402"/>
        <v>0.24032243633021239</v>
      </c>
      <c r="AF420" s="56">
        <f t="shared" si="402"/>
        <v>0.248797950251298</v>
      </c>
      <c r="AG420" s="78">
        <f t="shared" si="402"/>
        <v>0.25352112676056338</v>
      </c>
      <c r="AH420" s="78">
        <f t="shared" si="402"/>
        <v>0.24657534246575341</v>
      </c>
      <c r="AI420" s="78">
        <f t="shared" si="402"/>
        <v>0.23636363636363636</v>
      </c>
      <c r="AJ420" s="78">
        <f t="shared" si="402"/>
        <v>0.22807017543859648</v>
      </c>
      <c r="AK420" s="56">
        <v>0.24069148936170212</v>
      </c>
      <c r="AL420" s="78">
        <v>0.23664122137404581</v>
      </c>
      <c r="AM420" s="78">
        <v>0.24040920716112532</v>
      </c>
      <c r="AN420" s="78">
        <v>0.23650385604113111</v>
      </c>
      <c r="AO420" s="78">
        <v>0.22962962962962963</v>
      </c>
      <c r="AP420" s="56">
        <v>0.23574144486692014</v>
      </c>
      <c r="AQ420" s="78">
        <v>0.17721518987341772</v>
      </c>
      <c r="AR420" s="78">
        <v>0.21750663129973474</v>
      </c>
      <c r="AS420" s="78">
        <v>0.20833333333333334</v>
      </c>
      <c r="AT420" s="78">
        <v>0.2066326530612245</v>
      </c>
      <c r="AU420" s="56">
        <v>0.20219638242894056</v>
      </c>
      <c r="AV420" s="78">
        <v>0.21354166666666666</v>
      </c>
      <c r="AW420" s="78">
        <v>0.19164619164619165</v>
      </c>
      <c r="AX420" s="78">
        <v>0.1989100817438692</v>
      </c>
      <c r="AY420" s="78">
        <v>0.20052770448548812</v>
      </c>
      <c r="AZ420" s="56">
        <v>0.20104098893949252</v>
      </c>
      <c r="BA420" s="78">
        <v>0.21875</v>
      </c>
    </row>
    <row r="421" spans="1:53" s="36" customFormat="1" ht="11.25" customHeight="1">
      <c r="A421" s="69" t="s">
        <v>19</v>
      </c>
      <c r="B421" s="56">
        <f t="shared" ref="B421:AU421" si="403">B405/B354</f>
        <v>7.9387215475639816E-2</v>
      </c>
      <c r="C421" s="78">
        <f t="shared" si="403"/>
        <v>8.762981841350749E-2</v>
      </c>
      <c r="D421" s="78">
        <f t="shared" si="403"/>
        <v>9.4887957331107414E-2</v>
      </c>
      <c r="E421" s="78">
        <f t="shared" si="403"/>
        <v>0.10127024964039497</v>
      </c>
      <c r="F421" s="78">
        <f t="shared" si="403"/>
        <v>7.9866424665171951E-2</v>
      </c>
      <c r="G421" s="56">
        <f t="shared" si="403"/>
        <v>9.0871426175486048E-2</v>
      </c>
      <c r="H421" s="78">
        <f t="shared" si="403"/>
        <v>6.6097568492095291E-2</v>
      </c>
      <c r="I421" s="78">
        <f t="shared" si="403"/>
        <v>7.9871324373379682E-2</v>
      </c>
      <c r="J421" s="78">
        <f t="shared" si="403"/>
        <v>0.10068153655514252</v>
      </c>
      <c r="K421" s="78">
        <f t="shared" si="403"/>
        <v>0.11650962180483325</v>
      </c>
      <c r="L421" s="56">
        <f t="shared" si="403"/>
        <v>9.1016857053521846E-2</v>
      </c>
      <c r="M421" s="78">
        <f t="shared" si="403"/>
        <v>0.10705001165772908</v>
      </c>
      <c r="N421" s="78">
        <f t="shared" si="403"/>
        <v>9.6370588235294111E-2</v>
      </c>
      <c r="O421" s="78">
        <f t="shared" si="403"/>
        <v>8.6427713982215271E-2</v>
      </c>
      <c r="P421" s="78">
        <f t="shared" si="403"/>
        <v>0.229286914381722</v>
      </c>
      <c r="Q421" s="56">
        <f t="shared" si="403"/>
        <v>0.13021951235413473</v>
      </c>
      <c r="R421" s="78">
        <f t="shared" si="403"/>
        <v>0.13971469944475984</v>
      </c>
      <c r="S421" s="78">
        <f t="shared" si="403"/>
        <v>0.1412942446930433</v>
      </c>
      <c r="T421" s="78">
        <f t="shared" si="403"/>
        <v>0.26141930774100453</v>
      </c>
      <c r="U421" s="78">
        <f t="shared" si="403"/>
        <v>0.30418147275094104</v>
      </c>
      <c r="V421" s="56">
        <f t="shared" si="403"/>
        <v>0.21307444876706741</v>
      </c>
      <c r="W421" s="78">
        <f t="shared" si="403"/>
        <v>0.21385699923545101</v>
      </c>
      <c r="X421" s="78">
        <f t="shared" si="403"/>
        <v>0.10845488474470412</v>
      </c>
      <c r="Y421" s="78">
        <f t="shared" si="403"/>
        <v>8.7655145117174815E-2</v>
      </c>
      <c r="Z421" s="78">
        <f t="shared" si="403"/>
        <v>0.11447447482828094</v>
      </c>
      <c r="AA421" s="56">
        <f t="shared" si="403"/>
        <v>0.13085499251184785</v>
      </c>
      <c r="AB421" s="78">
        <f t="shared" si="403"/>
        <v>8.9369632150380809E-2</v>
      </c>
      <c r="AC421" s="78">
        <f t="shared" si="403"/>
        <v>7.6985259683785653E-2</v>
      </c>
      <c r="AD421" s="78">
        <f t="shared" si="403"/>
        <v>6.9619936377994782E-2</v>
      </c>
      <c r="AE421" s="78">
        <f t="shared" si="403"/>
        <v>5.6873734128307568E-2</v>
      </c>
      <c r="AF421" s="56">
        <f t="shared" si="403"/>
        <v>7.2946569595347732E-2</v>
      </c>
      <c r="AG421" s="78">
        <f t="shared" si="403"/>
        <v>8.6650704225352107E-2</v>
      </c>
      <c r="AH421" s="78">
        <f t="shared" si="403"/>
        <v>6.5369863013698626E-2</v>
      </c>
      <c r="AI421" s="78">
        <f t="shared" si="403"/>
        <v>7.1023376623376627E-2</v>
      </c>
      <c r="AJ421" s="78">
        <f t="shared" si="403"/>
        <v>7.0263157894736861E-2</v>
      </c>
      <c r="AK421" s="56">
        <v>7.3138297872340427E-2</v>
      </c>
      <c r="AL421" s="78">
        <v>0.13475063613231553</v>
      </c>
      <c r="AM421" s="78">
        <v>6.5943734015345271E-2</v>
      </c>
      <c r="AN421" s="78">
        <v>7.2593830334190229E-2</v>
      </c>
      <c r="AO421" s="78">
        <v>5.1901234567901244E-2</v>
      </c>
      <c r="AP421" s="56">
        <v>8.1115335868187574E-2</v>
      </c>
      <c r="AQ421" s="78">
        <v>9.3670886075949367E-2</v>
      </c>
      <c r="AR421" s="78">
        <v>8.7533156498673742E-2</v>
      </c>
      <c r="AS421" s="78">
        <v>6.25E-2</v>
      </c>
      <c r="AT421" s="78">
        <v>6.6326530612244902E-2</v>
      </c>
      <c r="AU421" s="56">
        <v>7.7519379844961239E-2</v>
      </c>
      <c r="AV421" s="78">
        <v>7.5520833333333329E-2</v>
      </c>
      <c r="AW421" s="78">
        <v>0.11302211302211303</v>
      </c>
      <c r="AX421" s="78">
        <v>8.4468664850136238E-2</v>
      </c>
      <c r="AY421" s="78">
        <v>9.498680738786279E-2</v>
      </c>
      <c r="AZ421" s="56">
        <v>9.2387768379960961E-2</v>
      </c>
      <c r="BA421" s="78">
        <v>8.8068181818181823E-2</v>
      </c>
    </row>
    <row r="422" spans="1:53" ht="4.5" customHeight="1">
      <c r="A422" s="54"/>
      <c r="B422" s="54"/>
      <c r="C422" s="55"/>
      <c r="D422" s="55"/>
      <c r="E422" s="55"/>
      <c r="F422" s="55"/>
      <c r="G422" s="54"/>
      <c r="H422" s="55"/>
      <c r="I422" s="55"/>
      <c r="J422" s="55"/>
      <c r="K422" s="55"/>
      <c r="L422" s="54"/>
      <c r="M422" s="55"/>
      <c r="N422" s="55"/>
      <c r="O422" s="55"/>
      <c r="P422" s="55"/>
      <c r="Q422" s="54"/>
      <c r="R422" s="55"/>
      <c r="S422" s="55"/>
      <c r="T422" s="55"/>
      <c r="U422" s="55"/>
      <c r="V422" s="54"/>
      <c r="W422" s="55"/>
      <c r="X422" s="55"/>
      <c r="Y422" s="55"/>
      <c r="Z422" s="55"/>
      <c r="AA422" s="54"/>
      <c r="AB422" s="55"/>
      <c r="AC422" s="55"/>
      <c r="AD422" s="55"/>
      <c r="AE422" s="55"/>
      <c r="AF422" s="54"/>
      <c r="AG422" s="55"/>
      <c r="AH422" s="55"/>
      <c r="AI422" s="55"/>
      <c r="AJ422" s="55"/>
      <c r="AK422" s="54"/>
      <c r="AL422" s="55"/>
      <c r="AM422" s="55"/>
      <c r="AN422" s="55"/>
      <c r="AO422" s="55"/>
      <c r="AP422" s="54"/>
      <c r="AQ422" s="55"/>
      <c r="AR422" s="55"/>
      <c r="AS422" s="55"/>
      <c r="AT422" s="55"/>
      <c r="AU422" s="54"/>
      <c r="AV422" s="55"/>
      <c r="AW422" s="55"/>
      <c r="AX422" s="55"/>
      <c r="AY422" s="55"/>
      <c r="AZ422" s="54"/>
      <c r="BA422" s="55"/>
    </row>
    <row r="423" spans="1:53" ht="20.25">
      <c r="A423" s="35" t="s">
        <v>21</v>
      </c>
      <c r="B423" s="28"/>
      <c r="C423" s="28"/>
      <c r="D423" s="28"/>
      <c r="E423" s="28"/>
      <c r="F423" s="28"/>
      <c r="G423" s="28"/>
      <c r="H423" s="28"/>
      <c r="I423" s="28"/>
      <c r="J423" s="28"/>
      <c r="K423" s="28"/>
      <c r="L423" s="28"/>
      <c r="M423" s="28"/>
      <c r="N423" s="28"/>
      <c r="O423" s="28"/>
      <c r="P423" s="28"/>
      <c r="Q423" s="28"/>
      <c r="R423" s="28"/>
      <c r="S423" s="28"/>
      <c r="T423" s="28"/>
      <c r="U423" s="28"/>
      <c r="V423" s="28"/>
      <c r="W423" s="28"/>
      <c r="X423" s="28"/>
      <c r="Y423" s="28"/>
      <c r="Z423" s="28"/>
      <c r="AA423" s="28"/>
      <c r="AB423" s="28"/>
      <c r="AC423" s="28"/>
      <c r="AD423" s="28"/>
      <c r="AE423" s="28"/>
      <c r="AF423" s="28"/>
      <c r="AG423" s="28"/>
      <c r="AH423" s="28"/>
      <c r="AI423" s="28"/>
      <c r="AJ423" s="28"/>
      <c r="AK423" s="28"/>
      <c r="AL423" s="28"/>
      <c r="AM423" s="28"/>
      <c r="AN423" s="28"/>
      <c r="AO423" s="28"/>
      <c r="AP423" s="28"/>
      <c r="AQ423" s="28"/>
      <c r="AR423" s="28"/>
      <c r="AS423" s="28"/>
      <c r="AT423" s="28"/>
      <c r="AU423" s="28"/>
      <c r="AV423" s="28"/>
      <c r="AW423" s="28"/>
      <c r="AX423" s="28"/>
      <c r="AY423" s="28"/>
      <c r="AZ423" s="28"/>
      <c r="BA423" s="28"/>
    </row>
    <row r="424" spans="1:53">
      <c r="A424" s="22"/>
      <c r="B424" s="22"/>
      <c r="C424" s="21"/>
      <c r="D424" s="21"/>
      <c r="E424" s="21"/>
      <c r="F424" s="21"/>
      <c r="G424" s="22"/>
      <c r="H424" s="21"/>
      <c r="I424" s="21"/>
      <c r="J424" s="21"/>
      <c r="K424" s="21"/>
      <c r="L424" s="22"/>
      <c r="M424" s="21"/>
      <c r="N424" s="21"/>
      <c r="O424" s="21"/>
      <c r="P424" s="21"/>
      <c r="Q424" s="22"/>
      <c r="R424" s="21"/>
      <c r="S424" s="21"/>
      <c r="T424" s="21"/>
      <c r="U424" s="21"/>
      <c r="V424" s="22"/>
      <c r="W424" s="21"/>
      <c r="X424" s="21"/>
      <c r="Y424" s="21"/>
      <c r="Z424" s="21"/>
      <c r="AA424" s="22"/>
      <c r="AB424" s="21"/>
      <c r="AC424" s="21"/>
      <c r="AD424" s="21"/>
      <c r="AE424" s="21"/>
      <c r="AF424" s="22"/>
      <c r="AG424" s="21"/>
      <c r="AH424" s="21"/>
      <c r="AI424" s="21"/>
      <c r="AJ424" s="21"/>
      <c r="AK424" s="22"/>
      <c r="AL424" s="21"/>
      <c r="AM424" s="21"/>
      <c r="AN424" s="21"/>
      <c r="AO424" s="21"/>
      <c r="AP424" s="22"/>
      <c r="AQ424" s="21"/>
      <c r="AR424" s="21"/>
      <c r="AS424" s="21"/>
      <c r="AT424" s="21"/>
      <c r="AU424" s="22"/>
      <c r="AV424" s="21"/>
      <c r="AW424" s="21"/>
      <c r="AX424" s="21"/>
      <c r="AY424" s="21"/>
      <c r="AZ424" s="22"/>
      <c r="BA424" s="21"/>
    </row>
    <row r="425" spans="1:53">
      <c r="A425" s="40" t="s">
        <v>80</v>
      </c>
      <c r="B425" s="41"/>
      <c r="C425" s="42"/>
      <c r="D425" s="42"/>
      <c r="E425" s="42"/>
      <c r="F425" s="42"/>
      <c r="G425" s="41"/>
      <c r="H425" s="42"/>
      <c r="I425" s="42"/>
      <c r="J425" s="42"/>
      <c r="K425" s="42"/>
      <c r="L425" s="41"/>
      <c r="M425" s="42"/>
      <c r="N425" s="42"/>
      <c r="O425" s="42"/>
      <c r="P425" s="42"/>
      <c r="Q425" s="41"/>
      <c r="R425" s="42"/>
      <c r="S425" s="42"/>
      <c r="T425" s="42"/>
      <c r="U425" s="42"/>
      <c r="V425" s="41"/>
      <c r="W425" s="42"/>
      <c r="X425" s="42"/>
      <c r="Y425" s="42"/>
      <c r="Z425" s="42"/>
      <c r="AA425" s="41"/>
      <c r="AB425" s="42"/>
      <c r="AC425" s="42"/>
      <c r="AD425" s="42"/>
      <c r="AE425" s="42"/>
      <c r="AF425" s="41"/>
      <c r="AG425" s="42"/>
      <c r="AH425" s="42"/>
      <c r="AI425" s="42"/>
      <c r="AJ425" s="42"/>
      <c r="AK425" s="41"/>
      <c r="AL425" s="42"/>
      <c r="AM425" s="42"/>
      <c r="AN425" s="42"/>
      <c r="AO425" s="42"/>
      <c r="AP425" s="41"/>
      <c r="AQ425" s="42"/>
      <c r="AR425" s="42"/>
      <c r="AS425" s="42"/>
      <c r="AT425" s="42"/>
      <c r="AU425" s="41"/>
      <c r="AV425" s="42"/>
      <c r="AW425" s="42"/>
      <c r="AX425" s="42"/>
      <c r="AY425" s="42"/>
      <c r="AZ425" s="41"/>
      <c r="BA425" s="42"/>
    </row>
    <row r="426" spans="1:53" s="36" customFormat="1">
      <c r="A426" s="69" t="s">
        <v>16</v>
      </c>
      <c r="B426" s="37">
        <v>1414.8230000000001</v>
      </c>
      <c r="C426" s="70">
        <v>381.36200000000002</v>
      </c>
      <c r="D426" s="70">
        <v>379.875</v>
      </c>
      <c r="E426" s="70">
        <v>375.15</v>
      </c>
      <c r="F426" s="70">
        <f>G426-E426-D426-C426</f>
        <v>376.24499999999995</v>
      </c>
      <c r="G426" s="37">
        <v>1512.6320000000001</v>
      </c>
      <c r="H426" s="70">
        <v>383.78199999999998</v>
      </c>
      <c r="I426" s="70">
        <v>376.09800000000001</v>
      </c>
      <c r="J426" s="70">
        <v>380.45100000000002</v>
      </c>
      <c r="K426" s="70">
        <f>L426-J426-I426-H426</f>
        <v>390.10399999999998</v>
      </c>
      <c r="L426" s="37">
        <v>1530.4349999999999</v>
      </c>
      <c r="M426" s="70">
        <v>391.416</v>
      </c>
      <c r="N426" s="70">
        <v>395.947</v>
      </c>
      <c r="O426" s="70">
        <v>395.34699999999998</v>
      </c>
      <c r="P426" s="70">
        <f>Q426-O426-N426-M426</f>
        <v>400.22000000000008</v>
      </c>
      <c r="Q426" s="37">
        <v>1582.93</v>
      </c>
      <c r="R426" s="70">
        <v>405.55</v>
      </c>
      <c r="S426" s="70">
        <v>403.96</v>
      </c>
      <c r="T426" s="70">
        <v>405.46800000000002</v>
      </c>
      <c r="U426" s="70">
        <f>V426-T426-S426-R426</f>
        <v>403.83099999999985</v>
      </c>
      <c r="V426" s="37">
        <v>1618.809</v>
      </c>
      <c r="W426" s="70">
        <v>416.70400000000001</v>
      </c>
      <c r="X426" s="70">
        <v>408.73200000000003</v>
      </c>
      <c r="Y426" s="70">
        <v>402.72</v>
      </c>
      <c r="Z426" s="70">
        <f>AA426-Y426-X426-W426</f>
        <v>407.83799999999991</v>
      </c>
      <c r="AA426" s="37">
        <v>1635.9939999999999</v>
      </c>
      <c r="AB426" s="70">
        <v>403.541</v>
      </c>
      <c r="AC426" s="70">
        <v>403.84</v>
      </c>
      <c r="AD426" s="70">
        <v>410.26400000000001</v>
      </c>
      <c r="AE426" s="70">
        <f>AF426-AD426-AC426-AB426</f>
        <v>417.57099999999986</v>
      </c>
      <c r="AF426" s="37">
        <v>1635.2159999999999</v>
      </c>
      <c r="AG426" s="70">
        <v>424</v>
      </c>
      <c r="AH426" s="70">
        <v>428</v>
      </c>
      <c r="AI426" s="70">
        <v>432</v>
      </c>
      <c r="AJ426" s="70">
        <f>AK426-AI426-AH426-AG426</f>
        <v>440</v>
      </c>
      <c r="AK426" s="37">
        <v>1724</v>
      </c>
      <c r="AL426" s="70">
        <v>440</v>
      </c>
      <c r="AM426" s="70">
        <v>439</v>
      </c>
      <c r="AN426" s="70">
        <v>446</v>
      </c>
      <c r="AO426" s="70">
        <v>449</v>
      </c>
      <c r="AP426" s="37">
        <v>1774</v>
      </c>
      <c r="AQ426" s="70">
        <v>439</v>
      </c>
      <c r="AR426" s="70">
        <v>434</v>
      </c>
      <c r="AS426" s="70">
        <v>434</v>
      </c>
      <c r="AT426" s="70">
        <v>438</v>
      </c>
      <c r="AU426" s="37">
        <v>1745</v>
      </c>
      <c r="AV426" s="70">
        <v>424</v>
      </c>
      <c r="AW426" s="70">
        <v>416</v>
      </c>
      <c r="AX426" s="70">
        <v>406</v>
      </c>
      <c r="AY426" s="70">
        <v>404</v>
      </c>
      <c r="AZ426" s="37">
        <v>1650</v>
      </c>
      <c r="BA426" s="70">
        <v>375</v>
      </c>
    </row>
    <row r="427" spans="1:53">
      <c r="A427" s="71" t="s">
        <v>7</v>
      </c>
      <c r="B427" s="24"/>
      <c r="C427" s="72"/>
      <c r="D427" s="72">
        <f>D426/C426-1</f>
        <v>-3.8991824041200163E-3</v>
      </c>
      <c r="E427" s="72">
        <f>E426/D426-1</f>
        <v>-1.2438302073050411E-2</v>
      </c>
      <c r="F427" s="72">
        <f>F426/E426-1</f>
        <v>2.9188324670130772E-3</v>
      </c>
      <c r="G427" s="24"/>
      <c r="H427" s="72">
        <f>H426/F426-1</f>
        <v>2.003215989581264E-2</v>
      </c>
      <c r="I427" s="72">
        <f>I426/H426-1</f>
        <v>-2.0021783199837273E-2</v>
      </c>
      <c r="J427" s="72">
        <f>J426/I426-1</f>
        <v>1.1574111002983223E-2</v>
      </c>
      <c r="K427" s="72">
        <f>K426/J426-1</f>
        <v>2.5372518405786693E-2</v>
      </c>
      <c r="L427" s="24"/>
      <c r="M427" s="72">
        <f>M426/K426-1</f>
        <v>3.3632057092467527E-3</v>
      </c>
      <c r="N427" s="72">
        <f>N426/M426-1</f>
        <v>1.1575919226602949E-2</v>
      </c>
      <c r="O427" s="72">
        <f>O426/N426-1</f>
        <v>-1.5153543277257597E-3</v>
      </c>
      <c r="P427" s="72">
        <f>P426/O426-1</f>
        <v>1.2325880808505163E-2</v>
      </c>
      <c r="Q427" s="24"/>
      <c r="R427" s="72">
        <f>R426/P426-1</f>
        <v>1.3317675278596619E-2</v>
      </c>
      <c r="S427" s="72">
        <f>S426/R426-1</f>
        <v>-3.9206016520775266E-3</v>
      </c>
      <c r="T427" s="72">
        <f>T426/S426-1</f>
        <v>3.733042875532222E-3</v>
      </c>
      <c r="U427" s="72">
        <f>U426/T426-1</f>
        <v>-4.0373099726739303E-3</v>
      </c>
      <c r="V427" s="24"/>
      <c r="W427" s="72">
        <f>W426/U426-1</f>
        <v>3.1877196153837106E-2</v>
      </c>
      <c r="X427" s="72">
        <f>X426/W426-1</f>
        <v>-1.9131085854707353E-2</v>
      </c>
      <c r="Y427" s="72">
        <f>Y426/X426-1</f>
        <v>-1.4708904612313223E-2</v>
      </c>
      <c r="Z427" s="72">
        <v>1.270858164481492E-2</v>
      </c>
      <c r="AA427" s="24"/>
      <c r="AB427" s="72">
        <f>AB426/Z426-1</f>
        <v>-1.0536046175196767E-2</v>
      </c>
      <c r="AC427" s="72">
        <f>AC426/AB426-1</f>
        <v>7.4094082137876605E-4</v>
      </c>
      <c r="AD427" s="72">
        <f>AD426/AC426-1</f>
        <v>1.5907290015847897E-2</v>
      </c>
      <c r="AE427" s="72">
        <f>AE426/AD426-1</f>
        <v>1.7810483006063915E-2</v>
      </c>
      <c r="AF427" s="24"/>
      <c r="AG427" s="72">
        <f>AG426/AE426-1</f>
        <v>1.5396184121982071E-2</v>
      </c>
      <c r="AH427" s="72">
        <f>AH426/AG426-1</f>
        <v>9.4339622641510523E-3</v>
      </c>
      <c r="AI427" s="72">
        <f>AI426/AH426-1</f>
        <v>9.3457943925232545E-3</v>
      </c>
      <c r="AJ427" s="72">
        <f>AJ426/AI426-1</f>
        <v>1.8518518518518601E-2</v>
      </c>
      <c r="AK427" s="24"/>
      <c r="AL427" s="72">
        <v>0</v>
      </c>
      <c r="AM427" s="72">
        <v>-2.2727272727273151E-3</v>
      </c>
      <c r="AN427" s="72">
        <v>1.5945330296127658E-2</v>
      </c>
      <c r="AO427" s="72">
        <v>6.7264573991030474E-3</v>
      </c>
      <c r="AP427" s="24"/>
      <c r="AQ427" s="72">
        <v>-2.2271714922049046E-2</v>
      </c>
      <c r="AR427" s="72">
        <v>-1.1389521640091105E-2</v>
      </c>
      <c r="AS427" s="72">
        <v>0</v>
      </c>
      <c r="AT427" s="72">
        <v>9.2165898617511122E-3</v>
      </c>
      <c r="AU427" s="24"/>
      <c r="AV427" s="72">
        <v>-3.1963470319634757E-2</v>
      </c>
      <c r="AW427" s="72">
        <v>-1.8867924528301883E-2</v>
      </c>
      <c r="AX427" s="72">
        <v>-2.4038461538461564E-2</v>
      </c>
      <c r="AY427" s="72">
        <v>-4.9261083743842304E-3</v>
      </c>
      <c r="AZ427" s="24"/>
      <c r="BA427" s="72">
        <v>-7.1782178217821735E-2</v>
      </c>
    </row>
    <row r="428" spans="1:53">
      <c r="A428" s="71" t="s">
        <v>8</v>
      </c>
      <c r="B428" s="24"/>
      <c r="C428" s="73"/>
      <c r="D428" s="73"/>
      <c r="E428" s="73"/>
      <c r="F428" s="73"/>
      <c r="G428" s="24">
        <f t="shared" ref="G428:N428" si="404">G426/B426-1</f>
        <v>6.9131615756882647E-2</v>
      </c>
      <c r="H428" s="73">
        <f t="shared" si="404"/>
        <v>6.345676811008838E-3</v>
      </c>
      <c r="I428" s="73">
        <f t="shared" si="404"/>
        <v>-9.9427443237907198E-3</v>
      </c>
      <c r="J428" s="73">
        <f t="shared" si="404"/>
        <v>1.4130347860855874E-2</v>
      </c>
      <c r="K428" s="73">
        <f t="shared" si="404"/>
        <v>3.6835040997222679E-2</v>
      </c>
      <c r="L428" s="24">
        <f t="shared" si="404"/>
        <v>1.1769551351551444E-2</v>
      </c>
      <c r="M428" s="73">
        <f t="shared" si="404"/>
        <v>1.9891500904159143E-2</v>
      </c>
      <c r="N428" s="73">
        <f t="shared" si="404"/>
        <v>5.277613813420956E-2</v>
      </c>
      <c r="O428" s="73">
        <f t="shared" ref="O428:Y428" si="405">O426/J426-1</f>
        <v>3.9153530940909453E-2</v>
      </c>
      <c r="P428" s="73">
        <f t="shared" si="405"/>
        <v>2.5931546459405874E-2</v>
      </c>
      <c r="Q428" s="24">
        <f t="shared" si="405"/>
        <v>3.4300705355013505E-2</v>
      </c>
      <c r="R428" s="73">
        <f t="shared" si="405"/>
        <v>3.6109918858707957E-2</v>
      </c>
      <c r="S428" s="73">
        <f t="shared" si="405"/>
        <v>2.0237557046776322E-2</v>
      </c>
      <c r="T428" s="73">
        <f t="shared" si="405"/>
        <v>2.5600295436667198E-2</v>
      </c>
      <c r="U428" s="73">
        <f t="shared" si="405"/>
        <v>9.022537604316927E-3</v>
      </c>
      <c r="V428" s="24">
        <f t="shared" si="405"/>
        <v>2.2666194967560171E-2</v>
      </c>
      <c r="W428" s="73">
        <f t="shared" si="405"/>
        <v>2.7503390457403576E-2</v>
      </c>
      <c r="X428" s="73">
        <f t="shared" si="405"/>
        <v>1.1813050797108815E-2</v>
      </c>
      <c r="Y428" s="73">
        <f t="shared" si="405"/>
        <v>-6.777353576607803E-3</v>
      </c>
      <c r="Z428" s="73">
        <v>9.9224675668783124E-3</v>
      </c>
      <c r="AA428" s="24">
        <v>1.0615829291781731E-2</v>
      </c>
      <c r="AB428" s="73">
        <f t="shared" ref="AB428:AI428" si="406">AB426/W426-1</f>
        <v>-3.1588369682076567E-2</v>
      </c>
      <c r="AC428" s="73">
        <f t="shared" si="406"/>
        <v>-1.1968722781676155E-2</v>
      </c>
      <c r="AD428" s="73">
        <f t="shared" si="406"/>
        <v>1.873261819626526E-2</v>
      </c>
      <c r="AE428" s="73">
        <f t="shared" si="406"/>
        <v>2.3864867913239829E-2</v>
      </c>
      <c r="AF428" s="24">
        <f t="shared" si="406"/>
        <v>-4.7555186632719515E-4</v>
      </c>
      <c r="AG428" s="73">
        <f t="shared" si="406"/>
        <v>5.0698689848119427E-2</v>
      </c>
      <c r="AH428" s="73">
        <f t="shared" si="406"/>
        <v>5.9825673534072976E-2</v>
      </c>
      <c r="AI428" s="73">
        <f t="shared" si="406"/>
        <v>5.2980519860382547E-2</v>
      </c>
      <c r="AJ428" s="73">
        <f t="shared" ref="AJ428:AS428" si="407">AJ426/AE426-1</f>
        <v>5.3713021258660509E-2</v>
      </c>
      <c r="AK428" s="24">
        <v>5.4294967759610957E-2</v>
      </c>
      <c r="AL428" s="73">
        <v>3.7735849056603765E-2</v>
      </c>
      <c r="AM428" s="73">
        <v>2.5700934579439227E-2</v>
      </c>
      <c r="AN428" s="73">
        <v>3.240740740740744E-2</v>
      </c>
      <c r="AO428" s="73">
        <v>2.0454545454545503E-2</v>
      </c>
      <c r="AP428" s="24">
        <v>2.9002320185614883E-2</v>
      </c>
      <c r="AQ428" s="73">
        <v>-2.2727272727273151E-3</v>
      </c>
      <c r="AR428" s="73">
        <v>-1.1389521640091105E-2</v>
      </c>
      <c r="AS428" s="73">
        <v>-2.6905829596412523E-2</v>
      </c>
      <c r="AT428" s="73">
        <v>-2.4498886414253906E-2</v>
      </c>
      <c r="AU428" s="24">
        <v>-1.6347237880496079E-2</v>
      </c>
      <c r="AV428" s="73">
        <v>-3.4168564920273314E-2</v>
      </c>
      <c r="AW428" s="73">
        <v>-4.1474654377880227E-2</v>
      </c>
      <c r="AX428" s="73">
        <v>-6.4516129032258118E-2</v>
      </c>
      <c r="AY428" s="73">
        <v>-7.7625570776255759E-2</v>
      </c>
      <c r="AZ428" s="24">
        <v>-5.4441260744985676E-2</v>
      </c>
      <c r="BA428" s="73">
        <v>-0.11556603773584906</v>
      </c>
    </row>
    <row r="429" spans="1:53">
      <c r="A429" s="69" t="s">
        <v>87</v>
      </c>
      <c r="B429" s="37">
        <v>1117.098</v>
      </c>
      <c r="C429" s="80" t="s">
        <v>53</v>
      </c>
      <c r="D429" s="80" t="s">
        <v>53</v>
      </c>
      <c r="E429" s="80" t="s">
        <v>53</v>
      </c>
      <c r="F429" s="80" t="s">
        <v>53</v>
      </c>
      <c r="G429" s="37">
        <v>1091.171</v>
      </c>
      <c r="H429" s="70">
        <v>258.45400000000001</v>
      </c>
      <c r="I429" s="70">
        <v>255.61500000000001</v>
      </c>
      <c r="J429" s="70">
        <v>261.83600000000001</v>
      </c>
      <c r="K429" s="70">
        <f>L429-J429-I429-H429</f>
        <v>266.19600000000008</v>
      </c>
      <c r="L429" s="37">
        <v>1042.1010000000001</v>
      </c>
      <c r="M429" s="70">
        <v>261.553</v>
      </c>
      <c r="N429" s="70">
        <v>322.11099999999999</v>
      </c>
      <c r="O429" s="70">
        <v>258.524</v>
      </c>
      <c r="P429" s="70">
        <f>Q429-O429-N429-M429</f>
        <v>286.65999999999997</v>
      </c>
      <c r="Q429" s="37">
        <v>1128.848</v>
      </c>
      <c r="R429" s="70">
        <v>271.899</v>
      </c>
      <c r="S429" s="70">
        <v>268.99700000000001</v>
      </c>
      <c r="T429" s="70">
        <v>267.77999999999997</v>
      </c>
      <c r="U429" s="70">
        <f>V429-T429-S429-R429</f>
        <v>219.4919999999999</v>
      </c>
      <c r="V429" s="37">
        <v>1028.1679999999999</v>
      </c>
      <c r="W429" s="70">
        <v>272.23700000000002</v>
      </c>
      <c r="X429" s="70">
        <v>255.75399999999999</v>
      </c>
      <c r="Y429" s="70">
        <v>272.64100000000002</v>
      </c>
      <c r="Z429" s="70">
        <f>AA429-Y429-X429-W429</f>
        <v>266.45499999999987</v>
      </c>
      <c r="AA429" s="37">
        <v>1067.087</v>
      </c>
      <c r="AB429" s="70">
        <f>258.114+18.5</f>
        <v>276.61399999999998</v>
      </c>
      <c r="AC429" s="70">
        <f>260.881+19</f>
        <v>279.88099999999997</v>
      </c>
      <c r="AD429" s="70">
        <f>257.775+19.7</f>
        <v>277.47499999999997</v>
      </c>
      <c r="AE429" s="70">
        <f>AF429-AD429-AC429-AB429</f>
        <v>296.03000000000014</v>
      </c>
      <c r="AF429" s="37">
        <v>1130</v>
      </c>
      <c r="AG429" s="70">
        <v>292</v>
      </c>
      <c r="AH429" s="147">
        <v>297</v>
      </c>
      <c r="AI429" s="70">
        <v>300</v>
      </c>
      <c r="AJ429" s="70">
        <f>AK429-AI429-AH429-AG429</f>
        <v>314</v>
      </c>
      <c r="AK429" s="37">
        <v>1203</v>
      </c>
      <c r="AL429" s="70">
        <v>320</v>
      </c>
      <c r="AM429" s="70">
        <v>313</v>
      </c>
      <c r="AN429" s="70">
        <v>314</v>
      </c>
      <c r="AO429" s="70">
        <v>342</v>
      </c>
      <c r="AP429" s="37">
        <v>1289</v>
      </c>
      <c r="AQ429" s="70">
        <v>321</v>
      </c>
      <c r="AR429" s="70">
        <v>312</v>
      </c>
      <c r="AS429" s="70">
        <v>314</v>
      </c>
      <c r="AT429" s="70">
        <v>314</v>
      </c>
      <c r="AU429" s="37">
        <v>1261</v>
      </c>
      <c r="AV429" s="70">
        <v>315</v>
      </c>
      <c r="AW429" s="70">
        <v>313</v>
      </c>
      <c r="AX429" s="70">
        <v>312</v>
      </c>
      <c r="AY429" s="70">
        <v>320</v>
      </c>
      <c r="AZ429" s="37">
        <v>1260</v>
      </c>
      <c r="BA429" s="70">
        <v>318</v>
      </c>
    </row>
    <row r="430" spans="1:53">
      <c r="A430" s="71" t="s">
        <v>7</v>
      </c>
      <c r="B430" s="24"/>
      <c r="C430" s="72"/>
      <c r="D430" s="72"/>
      <c r="E430" s="72"/>
      <c r="F430" s="72"/>
      <c r="G430" s="24"/>
      <c r="H430" s="72"/>
      <c r="I430" s="72">
        <f>I429/H429-1</f>
        <v>-1.0984546573084564E-2</v>
      </c>
      <c r="J430" s="72">
        <f>J429/I429-1</f>
        <v>2.4337382391487195E-2</v>
      </c>
      <c r="K430" s="72">
        <f>K429/J429-1</f>
        <v>1.6651644540857991E-2</v>
      </c>
      <c r="L430" s="24"/>
      <c r="M430" s="72">
        <f>M429/K429-1</f>
        <v>-1.7442035192114402E-2</v>
      </c>
      <c r="N430" s="72">
        <f>N429/M429-1</f>
        <v>0.23153242363880366</v>
      </c>
      <c r="O430" s="72">
        <f>O429/N429-1</f>
        <v>-0.19740710500417558</v>
      </c>
      <c r="P430" s="72">
        <f>P429/O429-1</f>
        <v>0.10883322244743221</v>
      </c>
      <c r="Q430" s="24"/>
      <c r="R430" s="72">
        <f>R429/P429-1</f>
        <v>-5.1493057978092449E-2</v>
      </c>
      <c r="S430" s="72">
        <f>S429/R429-1</f>
        <v>-1.0673080813096036E-2</v>
      </c>
      <c r="T430" s="72">
        <f>T429/S429-1</f>
        <v>-4.5242140246918305E-3</v>
      </c>
      <c r="U430" s="72">
        <f>U429/T429-1</f>
        <v>-0.18032713421465407</v>
      </c>
      <c r="V430" s="24"/>
      <c r="W430" s="72">
        <f>W429/U429-1</f>
        <v>0.24030488582727449</v>
      </c>
      <c r="X430" s="72">
        <f>X429/W429-1</f>
        <v>-6.054650910787307E-2</v>
      </c>
      <c r="Y430" s="72">
        <f>Y429/X429-1</f>
        <v>6.6028292812624789E-2</v>
      </c>
      <c r="Z430" s="72">
        <f>Z429/Y429-1</f>
        <v>-2.2689177343100053E-2</v>
      </c>
      <c r="AA430" s="24"/>
      <c r="AB430" s="72">
        <f>AB429/Z429-1</f>
        <v>3.8126512919630429E-2</v>
      </c>
      <c r="AC430" s="72">
        <f>AC429/AB429-1</f>
        <v>1.1810682033447373E-2</v>
      </c>
      <c r="AD430" s="72">
        <f>AD429/AC429-1</f>
        <v>-8.5965106598876462E-3</v>
      </c>
      <c r="AE430" s="72">
        <f>AE429/AD429-1</f>
        <v>6.6870889269304179E-2</v>
      </c>
      <c r="AF430" s="24"/>
      <c r="AG430" s="72">
        <f>AG429/AE429-1</f>
        <v>-1.36134851197518E-2</v>
      </c>
      <c r="AH430" s="165">
        <f>AH429/AG429-1</f>
        <v>1.7123287671232834E-2</v>
      </c>
      <c r="AI430" s="72">
        <f>AI429/AH429-1</f>
        <v>1.0101010101010166E-2</v>
      </c>
      <c r="AJ430" s="72">
        <f>AJ429/AI429-1</f>
        <v>4.6666666666666634E-2</v>
      </c>
      <c r="AK430" s="24"/>
      <c r="AL430" s="72">
        <v>1.9108280254777066E-2</v>
      </c>
      <c r="AM430" s="72">
        <v>-2.1874999999999978E-2</v>
      </c>
      <c r="AN430" s="72">
        <v>3.1948881789136685E-3</v>
      </c>
      <c r="AO430" s="72">
        <v>8.9171974522292974E-2</v>
      </c>
      <c r="AP430" s="24"/>
      <c r="AQ430" s="72">
        <v>-6.1403508771929793E-2</v>
      </c>
      <c r="AR430" s="72">
        <v>-2.8037383177570097E-2</v>
      </c>
      <c r="AS430" s="72">
        <v>6.4102564102563875E-3</v>
      </c>
      <c r="AT430" s="72">
        <v>0</v>
      </c>
      <c r="AU430" s="24"/>
      <c r="AV430" s="72">
        <v>3.1847133757962887E-3</v>
      </c>
      <c r="AW430" s="72">
        <v>-6.3492063492063266E-3</v>
      </c>
      <c r="AX430" s="72">
        <v>-3.1948881789137795E-3</v>
      </c>
      <c r="AY430" s="72">
        <v>2.564102564102555E-2</v>
      </c>
      <c r="AZ430" s="24"/>
      <c r="BA430" s="72">
        <v>-6.2499999999999778E-3</v>
      </c>
    </row>
    <row r="431" spans="1:53">
      <c r="A431" s="71" t="s">
        <v>8</v>
      </c>
      <c r="B431" s="24"/>
      <c r="C431" s="73"/>
      <c r="D431" s="73"/>
      <c r="E431" s="73"/>
      <c r="F431" s="73"/>
      <c r="G431" s="24">
        <f>G429/B429-1</f>
        <v>-2.3209243951739178E-2</v>
      </c>
      <c r="H431" s="73"/>
      <c r="I431" s="73"/>
      <c r="J431" s="73"/>
      <c r="K431" s="73"/>
      <c r="L431" s="24">
        <f t="shared" ref="L431:AD431" si="408">L429/G429-1</f>
        <v>-4.497003677700373E-2</v>
      </c>
      <c r="M431" s="73">
        <f t="shared" si="408"/>
        <v>1.1990528295170444E-2</v>
      </c>
      <c r="N431" s="73">
        <f t="shared" si="408"/>
        <v>0.26014122801869988</v>
      </c>
      <c r="O431" s="73">
        <f t="shared" si="408"/>
        <v>-1.2649139155807454E-2</v>
      </c>
      <c r="P431" s="73">
        <f t="shared" si="408"/>
        <v>7.6875685585057196E-2</v>
      </c>
      <c r="Q431" s="24">
        <f t="shared" si="408"/>
        <v>8.3242411244207393E-2</v>
      </c>
      <c r="R431" s="73">
        <f t="shared" si="408"/>
        <v>3.9556036443856524E-2</v>
      </c>
      <c r="S431" s="73">
        <f t="shared" si="408"/>
        <v>-0.16489346840064445</v>
      </c>
      <c r="T431" s="73">
        <f t="shared" si="408"/>
        <v>3.5803252309263289E-2</v>
      </c>
      <c r="U431" s="73">
        <f t="shared" si="408"/>
        <v>-0.23431242587036938</v>
      </c>
      <c r="V431" s="24">
        <f t="shared" si="408"/>
        <v>-8.9188269811347531E-2</v>
      </c>
      <c r="W431" s="73">
        <f t="shared" si="408"/>
        <v>1.2431086543165382E-3</v>
      </c>
      <c r="X431" s="73">
        <f t="shared" si="408"/>
        <v>-4.9231032316345624E-2</v>
      </c>
      <c r="Y431" s="73">
        <f t="shared" si="408"/>
        <v>1.8152961386212807E-2</v>
      </c>
      <c r="Z431" s="73">
        <f t="shared" si="408"/>
        <v>0.213962240081643</v>
      </c>
      <c r="AA431" s="24">
        <f t="shared" si="408"/>
        <v>3.7852763361629682E-2</v>
      </c>
      <c r="AB431" s="73">
        <f t="shared" si="408"/>
        <v>1.6077902709771053E-2</v>
      </c>
      <c r="AC431" s="73">
        <f t="shared" si="408"/>
        <v>9.4336745466346406E-2</v>
      </c>
      <c r="AD431" s="73">
        <f t="shared" si="408"/>
        <v>1.7730275343766921E-2</v>
      </c>
      <c r="AE431" s="73">
        <f t="shared" ref="AE431:AN431" si="409">AE429/Z429-1</f>
        <v>0.11099435176671602</v>
      </c>
      <c r="AF431" s="24">
        <f t="shared" si="409"/>
        <v>5.8957704479578599E-2</v>
      </c>
      <c r="AG431" s="73">
        <f t="shared" si="409"/>
        <v>5.5622636598292363E-2</v>
      </c>
      <c r="AH431" s="164">
        <f t="shared" si="409"/>
        <v>6.1165280958693335E-2</v>
      </c>
      <c r="AI431" s="73">
        <f t="shared" si="409"/>
        <v>8.117848454815757E-2</v>
      </c>
      <c r="AJ431" s="73">
        <f t="shared" si="409"/>
        <v>6.0703307097253134E-2</v>
      </c>
      <c r="AK431" s="24">
        <v>6.4601769911504459E-2</v>
      </c>
      <c r="AL431" s="73">
        <v>9.5890410958904049E-2</v>
      </c>
      <c r="AM431" s="73">
        <v>5.3872053872053849E-2</v>
      </c>
      <c r="AN431" s="73">
        <v>4.6666666666666634E-2</v>
      </c>
      <c r="AO431" s="73">
        <v>8.9171974522292974E-2</v>
      </c>
      <c r="AP431" s="24">
        <v>7.1487946799667412E-2</v>
      </c>
      <c r="AQ431" s="73">
        <v>3.1250000000000444E-3</v>
      </c>
      <c r="AR431" s="73">
        <v>-3.1948881789137795E-3</v>
      </c>
      <c r="AS431" s="73">
        <v>0</v>
      </c>
      <c r="AT431" s="73">
        <v>-8.1871345029239762E-2</v>
      </c>
      <c r="AU431" s="24">
        <v>-2.1722265321954981E-2</v>
      </c>
      <c r="AV431" s="73">
        <v>-1.8691588785046731E-2</v>
      </c>
      <c r="AW431" s="73">
        <v>3.2051282051281937E-3</v>
      </c>
      <c r="AX431" s="73">
        <v>-6.3694267515923553E-3</v>
      </c>
      <c r="AY431" s="73">
        <v>1.9108280254777066E-2</v>
      </c>
      <c r="AZ431" s="24">
        <v>-7.9302141157810979E-4</v>
      </c>
      <c r="BA431" s="73">
        <v>9.52380952380949E-3</v>
      </c>
    </row>
    <row r="432" spans="1:53">
      <c r="A432" s="69" t="s">
        <v>108</v>
      </c>
      <c r="B432" s="37">
        <v>297.72500000000002</v>
      </c>
      <c r="C432" s="80" t="s">
        <v>53</v>
      </c>
      <c r="D432" s="80" t="s">
        <v>53</v>
      </c>
      <c r="E432" s="80" t="s">
        <v>53</v>
      </c>
      <c r="F432" s="80" t="s">
        <v>53</v>
      </c>
      <c r="G432" s="37">
        <v>421.46100000000001</v>
      </c>
      <c r="H432" s="70">
        <v>125.328</v>
      </c>
      <c r="I432" s="70">
        <v>120.483</v>
      </c>
      <c r="J432" s="70">
        <v>118.61499999999999</v>
      </c>
      <c r="K432" s="70">
        <f>L432-J432-I432-H432</f>
        <v>123.90799999999999</v>
      </c>
      <c r="L432" s="37">
        <v>488.334</v>
      </c>
      <c r="M432" s="70">
        <v>129.863</v>
      </c>
      <c r="N432" s="70">
        <v>73.835999999999999</v>
      </c>
      <c r="O432" s="70">
        <v>136.82300000000001</v>
      </c>
      <c r="P432" s="70">
        <f>Q432-O432-N432-M432</f>
        <v>113.56</v>
      </c>
      <c r="Q432" s="37">
        <v>454.08199999999999</v>
      </c>
      <c r="R432" s="70">
        <v>133.65100000000001</v>
      </c>
      <c r="S432" s="70">
        <v>134.96299999999999</v>
      </c>
      <c r="T432" s="70">
        <v>137.68799999999999</v>
      </c>
      <c r="U432" s="70">
        <f>V432-T432-S432-R432</f>
        <v>184.339</v>
      </c>
      <c r="V432" s="37">
        <v>590.64099999999996</v>
      </c>
      <c r="W432" s="70">
        <v>144.46700000000001</v>
      </c>
      <c r="X432" s="70">
        <v>152.97800000000001</v>
      </c>
      <c r="Y432" s="70">
        <v>130.07900000000001</v>
      </c>
      <c r="Z432" s="70">
        <f>AA432-Y432-X432-W432</f>
        <v>141.38300000000001</v>
      </c>
      <c r="AA432" s="37">
        <v>568.90700000000004</v>
      </c>
      <c r="AB432" s="70">
        <f>145.427-18.5</f>
        <v>126.92699999999999</v>
      </c>
      <c r="AC432" s="70">
        <f>142.959-19</f>
        <v>123.959</v>
      </c>
      <c r="AD432" s="70">
        <f>152.489-19.7</f>
        <v>132.78900000000002</v>
      </c>
      <c r="AE432" s="70">
        <f>AF432-AD432-AC432-AB432</f>
        <v>121.32500000000002</v>
      </c>
      <c r="AF432" s="37">
        <v>505</v>
      </c>
      <c r="AG432" s="70">
        <v>132</v>
      </c>
      <c r="AH432" s="147">
        <v>130</v>
      </c>
      <c r="AI432" s="70">
        <v>133</v>
      </c>
      <c r="AJ432" s="70">
        <f>AK432-AI432-AH432-AG432</f>
        <v>126</v>
      </c>
      <c r="AK432" s="37">
        <v>521</v>
      </c>
      <c r="AL432" s="70">
        <v>120</v>
      </c>
      <c r="AM432" s="70">
        <v>126</v>
      </c>
      <c r="AN432" s="70">
        <v>132</v>
      </c>
      <c r="AO432" s="70">
        <v>107</v>
      </c>
      <c r="AP432" s="37">
        <v>485</v>
      </c>
      <c r="AQ432" s="70">
        <v>118</v>
      </c>
      <c r="AR432" s="70">
        <v>122</v>
      </c>
      <c r="AS432" s="70">
        <v>120</v>
      </c>
      <c r="AT432" s="70">
        <v>124</v>
      </c>
      <c r="AU432" s="37">
        <v>484</v>
      </c>
      <c r="AV432" s="70">
        <v>109</v>
      </c>
      <c r="AW432" s="70">
        <v>103</v>
      </c>
      <c r="AX432" s="70">
        <v>94</v>
      </c>
      <c r="AY432" s="70">
        <v>84</v>
      </c>
      <c r="AZ432" s="37">
        <v>390</v>
      </c>
      <c r="BA432" s="70">
        <v>57</v>
      </c>
    </row>
    <row r="433" spans="1:53">
      <c r="A433" s="71" t="s">
        <v>7</v>
      </c>
      <c r="B433" s="24"/>
      <c r="C433" s="72"/>
      <c r="D433" s="72"/>
      <c r="E433" s="72"/>
      <c r="F433" s="72"/>
      <c r="G433" s="24"/>
      <c r="H433" s="72"/>
      <c r="I433" s="72">
        <f>I432/H432-1</f>
        <v>-3.8658559938720805E-2</v>
      </c>
      <c r="J433" s="72">
        <f>J432/I432-1</f>
        <v>-1.5504262012068115E-2</v>
      </c>
      <c r="K433" s="72">
        <f>K432/J432-1</f>
        <v>4.4623361294945818E-2</v>
      </c>
      <c r="L433" s="24"/>
      <c r="M433" s="72">
        <f>M432/K432-1</f>
        <v>4.8059850857087527E-2</v>
      </c>
      <c r="N433" s="72">
        <f>N432/M432-1</f>
        <v>-0.43143158559404915</v>
      </c>
      <c r="O433" s="72">
        <f>O432/N432-1</f>
        <v>0.85306625494338828</v>
      </c>
      <c r="P433" s="72">
        <f>P432/O432-1</f>
        <v>-0.17002258392229375</v>
      </c>
      <c r="Q433" s="24"/>
      <c r="R433" s="72">
        <f>R432/P432-1</f>
        <v>0.17691969003170138</v>
      </c>
      <c r="S433" s="72">
        <f>S432/R432-1</f>
        <v>9.8166119220954862E-3</v>
      </c>
      <c r="T433" s="72">
        <f>T432/S432-1</f>
        <v>2.0190718937783014E-2</v>
      </c>
      <c r="U433" s="72">
        <f>U432/T432-1</f>
        <v>0.33881674510487492</v>
      </c>
      <c r="V433" s="24"/>
      <c r="W433" s="72">
        <f>W432/U432-1</f>
        <v>-0.21629714818893442</v>
      </c>
      <c r="X433" s="72">
        <f>X432/W432-1</f>
        <v>5.8913108183875851E-2</v>
      </c>
      <c r="Y433" s="72">
        <f>Y432/X432-1</f>
        <v>-0.14968819045875881</v>
      </c>
      <c r="Z433" s="72">
        <f>Z432/Y432-1</f>
        <v>8.6901037062093067E-2</v>
      </c>
      <c r="AA433" s="24"/>
      <c r="AB433" s="72">
        <f>AB432/Z432-1</f>
        <v>-0.10224708769795532</v>
      </c>
      <c r="AC433" s="72">
        <f>AC432/AB432-1</f>
        <v>-2.3383519660907348E-2</v>
      </c>
      <c r="AD433" s="72">
        <f>AD432/AC432-1</f>
        <v>7.1233230342290677E-2</v>
      </c>
      <c r="AE433" s="72">
        <f>AE432/AD432-1</f>
        <v>-8.633245223625452E-2</v>
      </c>
      <c r="AF433" s="24"/>
      <c r="AG433" s="72">
        <f>AG432/AE432-1</f>
        <v>8.7986812281063198E-2</v>
      </c>
      <c r="AH433" s="72">
        <f>AH432/AG432-1</f>
        <v>-1.5151515151515138E-2</v>
      </c>
      <c r="AI433" s="72">
        <f>AI432/AH432-1</f>
        <v>2.3076923076922995E-2</v>
      </c>
      <c r="AJ433" s="72">
        <f>AJ432/AI432-1</f>
        <v>-5.2631578947368474E-2</v>
      </c>
      <c r="AK433" s="24"/>
      <c r="AL433" s="72">
        <v>-4.7619047619047672E-2</v>
      </c>
      <c r="AM433" s="72">
        <v>5.0000000000000044E-2</v>
      </c>
      <c r="AN433" s="72">
        <v>4.7619047619047672E-2</v>
      </c>
      <c r="AO433" s="72">
        <v>-0.18939393939393945</v>
      </c>
      <c r="AP433" s="24"/>
      <c r="AQ433" s="72">
        <v>0.10280373831775691</v>
      </c>
      <c r="AR433" s="72">
        <v>3.3898305084745672E-2</v>
      </c>
      <c r="AS433" s="72">
        <v>-1.6393442622950838E-2</v>
      </c>
      <c r="AT433" s="72">
        <v>3.3333333333333437E-2</v>
      </c>
      <c r="AU433" s="24"/>
      <c r="AV433" s="72">
        <v>-0.12096774193548387</v>
      </c>
      <c r="AW433" s="72">
        <v>-5.5045871559633031E-2</v>
      </c>
      <c r="AX433" s="72">
        <v>-8.737864077669899E-2</v>
      </c>
      <c r="AY433" s="72">
        <v>-0.1063829787234043</v>
      </c>
      <c r="AZ433" s="24"/>
      <c r="BA433" s="72">
        <v>-0.3214285714285714</v>
      </c>
    </row>
    <row r="434" spans="1:53">
      <c r="A434" s="71" t="s">
        <v>8</v>
      </c>
      <c r="B434" s="24"/>
      <c r="C434" s="73"/>
      <c r="D434" s="73"/>
      <c r="E434" s="73"/>
      <c r="F434" s="73"/>
      <c r="G434" s="24">
        <f>G432/B432-1</f>
        <v>0.4156050046183557</v>
      </c>
      <c r="H434" s="73"/>
      <c r="I434" s="73"/>
      <c r="J434" s="73"/>
      <c r="K434" s="73"/>
      <c r="L434" s="24">
        <f t="shared" ref="L434:AD434" si="410">L432/G432-1</f>
        <v>0.15866948543281589</v>
      </c>
      <c r="M434" s="73">
        <f t="shared" si="410"/>
        <v>3.6185050427677723E-2</v>
      </c>
      <c r="N434" s="73">
        <f t="shared" si="410"/>
        <v>-0.38716665421677754</v>
      </c>
      <c r="O434" s="73">
        <f t="shared" si="410"/>
        <v>0.15350503730556864</v>
      </c>
      <c r="P434" s="73">
        <f t="shared" si="410"/>
        <v>-8.3513574587597117E-2</v>
      </c>
      <c r="Q434" s="24">
        <f t="shared" si="410"/>
        <v>-7.014051857949688E-2</v>
      </c>
      <c r="R434" s="73">
        <f t="shared" si="410"/>
        <v>2.9169201389156241E-2</v>
      </c>
      <c r="S434" s="73">
        <f t="shared" si="410"/>
        <v>0.82787529118587133</v>
      </c>
      <c r="T434" s="73">
        <f t="shared" si="410"/>
        <v>6.3220364997111922E-3</v>
      </c>
      <c r="U434" s="73">
        <f t="shared" si="410"/>
        <v>0.62327404015498411</v>
      </c>
      <c r="V434" s="24">
        <f t="shared" si="410"/>
        <v>0.30073643086490986</v>
      </c>
      <c r="W434" s="73">
        <f t="shared" si="410"/>
        <v>8.0927190967519991E-2</v>
      </c>
      <c r="X434" s="73">
        <f t="shared" si="410"/>
        <v>0.13348102813363671</v>
      </c>
      <c r="Y434" s="73">
        <f t="shared" si="410"/>
        <v>-5.5262622741270029E-2</v>
      </c>
      <c r="Z434" s="73">
        <f t="shared" si="410"/>
        <v>-0.2330271944623763</v>
      </c>
      <c r="AA434" s="24">
        <f t="shared" si="410"/>
        <v>-3.6797310041124631E-2</v>
      </c>
      <c r="AB434" s="73">
        <f t="shared" si="410"/>
        <v>-0.121411810309621</v>
      </c>
      <c r="AC434" s="73">
        <f t="shared" si="410"/>
        <v>-0.18969394291989705</v>
      </c>
      <c r="AD434" s="73">
        <f t="shared" si="410"/>
        <v>2.0833493492416144E-2</v>
      </c>
      <c r="AE434" s="73">
        <f t="shared" ref="AE434:AN434" si="411">AE432/Z432-1</f>
        <v>-0.14186995607675601</v>
      </c>
      <c r="AF434" s="24">
        <f t="shared" si="411"/>
        <v>-0.11233294721281339</v>
      </c>
      <c r="AG434" s="73">
        <f t="shared" si="411"/>
        <v>3.996785553901061E-2</v>
      </c>
      <c r="AH434" s="73">
        <f t="shared" si="411"/>
        <v>4.8733855549012217E-2</v>
      </c>
      <c r="AI434" s="73">
        <f t="shared" si="411"/>
        <v>1.5889870395890959E-3</v>
      </c>
      <c r="AJ434" s="73">
        <f t="shared" si="411"/>
        <v>3.8532866268287558E-2</v>
      </c>
      <c r="AK434" s="24">
        <v>3.1683168316831711E-2</v>
      </c>
      <c r="AL434" s="73">
        <v>-9.0909090909090939E-2</v>
      </c>
      <c r="AM434" s="73">
        <v>-3.0769230769230771E-2</v>
      </c>
      <c r="AN434" s="73">
        <v>-7.5187969924812581E-3</v>
      </c>
      <c r="AO434" s="73">
        <v>-0.15079365079365081</v>
      </c>
      <c r="AP434" s="24">
        <v>-6.9097888675623831E-2</v>
      </c>
      <c r="AQ434" s="73">
        <v>-1.6666666666666718E-2</v>
      </c>
      <c r="AR434" s="73">
        <v>-3.1746031746031744E-2</v>
      </c>
      <c r="AS434" s="73">
        <v>-9.0909090909090939E-2</v>
      </c>
      <c r="AT434" s="73">
        <v>0.1588785046728971</v>
      </c>
      <c r="AU434" s="24">
        <v>-2.0618556701030855E-3</v>
      </c>
      <c r="AV434" s="73">
        <v>-7.6271186440677985E-2</v>
      </c>
      <c r="AW434" s="73">
        <v>-0.15573770491803274</v>
      </c>
      <c r="AX434" s="73">
        <v>-0.21666666666666667</v>
      </c>
      <c r="AY434" s="73">
        <v>-0.32258064516129037</v>
      </c>
      <c r="AZ434" s="24">
        <v>-0.19421487603305787</v>
      </c>
      <c r="BA434" s="73">
        <v>-0.47706422018348627</v>
      </c>
    </row>
    <row r="435" spans="1:53">
      <c r="A435" s="69" t="s">
        <v>88</v>
      </c>
      <c r="B435" s="37">
        <v>137.679</v>
      </c>
      <c r="C435" s="80" t="s">
        <v>53</v>
      </c>
      <c r="D435" s="80" t="s">
        <v>53</v>
      </c>
      <c r="E435" s="80" t="s">
        <v>53</v>
      </c>
      <c r="F435" s="80" t="s">
        <v>53</v>
      </c>
      <c r="G435" s="37">
        <v>128.16200000000001</v>
      </c>
      <c r="H435" s="70">
        <v>28.420999999999999</v>
      </c>
      <c r="I435" s="70">
        <v>33.017000000000003</v>
      </c>
      <c r="J435" s="70">
        <v>28.779</v>
      </c>
      <c r="K435" s="70">
        <f>L435-J435-I435-H435</f>
        <v>32.094999999999999</v>
      </c>
      <c r="L435" s="37">
        <v>122.312</v>
      </c>
      <c r="M435" s="70">
        <v>38.936</v>
      </c>
      <c r="N435" s="70">
        <v>33.042000000000002</v>
      </c>
      <c r="O435" s="70">
        <v>31.542999999999999</v>
      </c>
      <c r="P435" s="70">
        <f>Q435-O435-N435-M435</f>
        <v>39.68099999999999</v>
      </c>
      <c r="Q435" s="37">
        <v>143.202</v>
      </c>
      <c r="R435" s="70">
        <v>40.058999999999997</v>
      </c>
      <c r="S435" s="70">
        <v>34.738</v>
      </c>
      <c r="T435" s="70">
        <v>37.170999999999999</v>
      </c>
      <c r="U435" s="70">
        <f>V435-T435-S435-R435</f>
        <v>40.769000000000005</v>
      </c>
      <c r="V435" s="37">
        <v>152.73699999999999</v>
      </c>
      <c r="W435" s="70">
        <v>53.506999999999998</v>
      </c>
      <c r="X435" s="70">
        <v>41.585000000000001</v>
      </c>
      <c r="Y435" s="70">
        <v>40.06</v>
      </c>
      <c r="Z435" s="70">
        <f>AA435-Y435-X435-W435</f>
        <v>31.121999999999993</v>
      </c>
      <c r="AA435" s="37">
        <v>166.274</v>
      </c>
      <c r="AB435" s="70">
        <v>39.119</v>
      </c>
      <c r="AC435" s="70">
        <v>36.228999999999999</v>
      </c>
      <c r="AD435" s="70">
        <v>41.195999999999998</v>
      </c>
      <c r="AE435" s="70">
        <f>AF435-AD435-AC435-AB435</f>
        <v>37.167999999999992</v>
      </c>
      <c r="AF435" s="37">
        <v>153.71199999999999</v>
      </c>
      <c r="AG435" s="70">
        <v>40</v>
      </c>
      <c r="AH435" s="147">
        <v>40</v>
      </c>
      <c r="AI435" s="70">
        <v>34</v>
      </c>
      <c r="AJ435" s="70">
        <f>AK435-AI435-AH435-AG435</f>
        <v>40</v>
      </c>
      <c r="AK435" s="37">
        <v>154</v>
      </c>
      <c r="AL435" s="70">
        <v>36</v>
      </c>
      <c r="AM435" s="70">
        <v>35</v>
      </c>
      <c r="AN435" s="70">
        <v>37</v>
      </c>
      <c r="AO435" s="70">
        <v>32</v>
      </c>
      <c r="AP435" s="37">
        <v>140</v>
      </c>
      <c r="AQ435" s="70">
        <v>38</v>
      </c>
      <c r="AR435" s="70">
        <v>24</v>
      </c>
      <c r="AS435" s="70">
        <v>35</v>
      </c>
      <c r="AT435" s="70">
        <v>31</v>
      </c>
      <c r="AU435" s="37">
        <v>128</v>
      </c>
      <c r="AV435" s="70">
        <v>35</v>
      </c>
      <c r="AW435" s="70">
        <v>29</v>
      </c>
      <c r="AX435" s="70">
        <v>34</v>
      </c>
      <c r="AY435" s="70">
        <v>33</v>
      </c>
      <c r="AZ435" s="37">
        <v>131</v>
      </c>
      <c r="BA435" s="70">
        <v>35</v>
      </c>
    </row>
    <row r="436" spans="1:53">
      <c r="A436" s="71" t="s">
        <v>7</v>
      </c>
      <c r="B436" s="24"/>
      <c r="C436" s="72"/>
      <c r="D436" s="72"/>
      <c r="E436" s="72"/>
      <c r="F436" s="72"/>
      <c r="G436" s="24"/>
      <c r="H436" s="72"/>
      <c r="I436" s="72">
        <f>I435/H435-1</f>
        <v>0.16171141057668637</v>
      </c>
      <c r="J436" s="72">
        <f>J435/I435-1</f>
        <v>-0.12835811854499202</v>
      </c>
      <c r="K436" s="72">
        <f>K435/J435-1</f>
        <v>0.11522290559088222</v>
      </c>
      <c r="L436" s="24"/>
      <c r="M436" s="72">
        <f>M435/K435-1</f>
        <v>0.21314846549306754</v>
      </c>
      <c r="N436" s="72">
        <f>N435/M435-1</f>
        <v>-0.15137661803986024</v>
      </c>
      <c r="O436" s="72">
        <f>O435/N435-1</f>
        <v>-4.5366503238302824E-2</v>
      </c>
      <c r="P436" s="72">
        <f>P435/O435-1</f>
        <v>0.25799701994103263</v>
      </c>
      <c r="Q436" s="24"/>
      <c r="R436" s="72">
        <f>R435/P435-1</f>
        <v>9.5259696076208655E-3</v>
      </c>
      <c r="S436" s="72">
        <f>S435/R435-1</f>
        <v>-0.1328290771112608</v>
      </c>
      <c r="T436" s="72">
        <f>T435/S435-1</f>
        <v>7.0038574471759985E-2</v>
      </c>
      <c r="U436" s="72">
        <f>U435/T435-1</f>
        <v>9.67958892685159E-2</v>
      </c>
      <c r="V436" s="24"/>
      <c r="W436" s="72">
        <f>W435/U435-1</f>
        <v>0.31244327798081861</v>
      </c>
      <c r="X436" s="72">
        <f>X435/W435-1</f>
        <v>-0.22281196852748231</v>
      </c>
      <c r="Y436" s="72">
        <f>Y435/X435-1</f>
        <v>-3.667187687868223E-2</v>
      </c>
      <c r="Z436" s="72">
        <f>Z435/Y435-1</f>
        <v>-0.223115327009486</v>
      </c>
      <c r="AA436" s="24"/>
      <c r="AB436" s="72">
        <f>AB435/Z435-1</f>
        <v>0.25695649379859931</v>
      </c>
      <c r="AC436" s="72">
        <f>AC435/AB435-1</f>
        <v>-7.3877144098775549E-2</v>
      </c>
      <c r="AD436" s="72">
        <f>AD435/AC435-1</f>
        <v>0.13710011316900816</v>
      </c>
      <c r="AE436" s="72">
        <f>AE435/AD435-1</f>
        <v>-9.7776483153704352E-2</v>
      </c>
      <c r="AF436" s="24"/>
      <c r="AG436" s="72">
        <f>AG435/AE435-1</f>
        <v>7.6194575979337209E-2</v>
      </c>
      <c r="AH436" s="165">
        <f>AH435/AG435-1</f>
        <v>0</v>
      </c>
      <c r="AI436" s="72">
        <f>AI435/AH435-1</f>
        <v>-0.15000000000000002</v>
      </c>
      <c r="AJ436" s="72">
        <f>AJ435/AI435-1</f>
        <v>0.17647058823529416</v>
      </c>
      <c r="AK436" s="24"/>
      <c r="AL436" s="72">
        <v>-9.9999999999999978E-2</v>
      </c>
      <c r="AM436" s="72">
        <v>-2.777777777777779E-2</v>
      </c>
      <c r="AN436" s="72">
        <v>5.7142857142857162E-2</v>
      </c>
      <c r="AO436" s="72">
        <v>-0.13513513513513509</v>
      </c>
      <c r="AP436" s="24"/>
      <c r="AQ436" s="72">
        <v>0.1875</v>
      </c>
      <c r="AR436" s="72">
        <v>-0.36842105263157898</v>
      </c>
      <c r="AS436" s="72">
        <v>0.45833333333333326</v>
      </c>
      <c r="AT436" s="72">
        <v>-0.11428571428571432</v>
      </c>
      <c r="AU436" s="24"/>
      <c r="AV436" s="72">
        <v>0.12903225806451624</v>
      </c>
      <c r="AW436" s="72">
        <v>-0.17142857142857137</v>
      </c>
      <c r="AX436" s="72">
        <v>0.17241379310344818</v>
      </c>
      <c r="AY436" s="72">
        <v>-2.9411764705882359E-2</v>
      </c>
      <c r="AZ436" s="24"/>
      <c r="BA436" s="72">
        <v>6.0606060606060552E-2</v>
      </c>
    </row>
    <row r="437" spans="1:53">
      <c r="A437" s="71" t="s">
        <v>8</v>
      </c>
      <c r="B437" s="24"/>
      <c r="C437" s="73"/>
      <c r="D437" s="73"/>
      <c r="E437" s="73"/>
      <c r="F437" s="73"/>
      <c r="G437" s="24">
        <f>G435/B435-1</f>
        <v>-6.9124557848328272E-2</v>
      </c>
      <c r="H437" s="73"/>
      <c r="I437" s="73"/>
      <c r="J437" s="73"/>
      <c r="K437" s="73"/>
      <c r="L437" s="24">
        <f t="shared" ref="L437:AD437" si="412">L435/G435-1</f>
        <v>-4.5645355097454821E-2</v>
      </c>
      <c r="M437" s="73">
        <f t="shared" si="412"/>
        <v>0.36997290735723598</v>
      </c>
      <c r="N437" s="73">
        <f t="shared" si="412"/>
        <v>7.5718569221905341E-4</v>
      </c>
      <c r="O437" s="73">
        <f t="shared" si="412"/>
        <v>9.6042253031724423E-2</v>
      </c>
      <c r="P437" s="73">
        <f t="shared" si="412"/>
        <v>0.23636080386352987</v>
      </c>
      <c r="Q437" s="24">
        <f t="shared" si="412"/>
        <v>0.17079272679704371</v>
      </c>
      <c r="R437" s="73">
        <f t="shared" si="412"/>
        <v>2.8842202588863719E-2</v>
      </c>
      <c r="S437" s="73">
        <f t="shared" si="412"/>
        <v>5.1328612069487356E-2</v>
      </c>
      <c r="T437" s="73">
        <f t="shared" si="412"/>
        <v>0.17842310496782177</v>
      </c>
      <c r="U437" s="73">
        <f t="shared" si="412"/>
        <v>2.7418663844157587E-2</v>
      </c>
      <c r="V437" s="24">
        <f t="shared" si="412"/>
        <v>6.6584265582882995E-2</v>
      </c>
      <c r="W437" s="73">
        <f t="shared" si="412"/>
        <v>0.33570483536783247</v>
      </c>
      <c r="X437" s="73">
        <f t="shared" si="412"/>
        <v>0.19710403592607517</v>
      </c>
      <c r="Y437" s="73">
        <f t="shared" si="412"/>
        <v>7.7721879960184204E-2</v>
      </c>
      <c r="Z437" s="73">
        <f t="shared" si="412"/>
        <v>-0.23662586769359095</v>
      </c>
      <c r="AA437" s="24">
        <f t="shared" si="412"/>
        <v>8.8629474194203084E-2</v>
      </c>
      <c r="AB437" s="73">
        <f t="shared" si="412"/>
        <v>-0.26889939634066573</v>
      </c>
      <c r="AC437" s="73">
        <f t="shared" si="412"/>
        <v>-0.1287964410244079</v>
      </c>
      <c r="AD437" s="73">
        <f t="shared" si="412"/>
        <v>2.8357463804293381E-2</v>
      </c>
      <c r="AE437" s="73">
        <f t="shared" ref="AE437:AN437" si="413">AE435/Z435-1</f>
        <v>0.19426772058351016</v>
      </c>
      <c r="AF437" s="24">
        <f t="shared" si="413"/>
        <v>-7.5549995790081481E-2</v>
      </c>
      <c r="AG437" s="73">
        <f t="shared" si="413"/>
        <v>2.2521025588588595E-2</v>
      </c>
      <c r="AH437" s="164">
        <f t="shared" si="413"/>
        <v>0.10408788539567748</v>
      </c>
      <c r="AI437" s="73">
        <f t="shared" si="413"/>
        <v>-0.17467715312166221</v>
      </c>
      <c r="AJ437" s="73">
        <f t="shared" si="413"/>
        <v>7.6194575979337209E-2</v>
      </c>
      <c r="AK437" s="24">
        <v>1.8736338086813298E-3</v>
      </c>
      <c r="AL437" s="73">
        <v>-9.9999999999999978E-2</v>
      </c>
      <c r="AM437" s="73">
        <v>-0.125</v>
      </c>
      <c r="AN437" s="73">
        <v>8.8235294117646967E-2</v>
      </c>
      <c r="AO437" s="73">
        <v>-0.19999999999999996</v>
      </c>
      <c r="AP437" s="24">
        <v>-9.0909090909090939E-2</v>
      </c>
      <c r="AQ437" s="73">
        <v>5.555555555555558E-2</v>
      </c>
      <c r="AR437" s="73">
        <v>-0.31428571428571428</v>
      </c>
      <c r="AS437" s="73">
        <v>-5.4054054054054057E-2</v>
      </c>
      <c r="AT437" s="73">
        <v>-3.125E-2</v>
      </c>
      <c r="AU437" s="24">
        <v>-8.5714285714285743E-2</v>
      </c>
      <c r="AV437" s="73">
        <v>-7.8947368421052655E-2</v>
      </c>
      <c r="AW437" s="73">
        <v>0.20833333333333326</v>
      </c>
      <c r="AX437" s="73">
        <v>-2.8571428571428581E-2</v>
      </c>
      <c r="AY437" s="73">
        <v>6.4516129032258007E-2</v>
      </c>
      <c r="AZ437" s="24">
        <v>2.34375E-2</v>
      </c>
      <c r="BA437" s="73">
        <v>0</v>
      </c>
    </row>
    <row r="438" spans="1:53">
      <c r="A438" s="69" t="s">
        <v>89</v>
      </c>
      <c r="B438" s="37">
        <v>104.047</v>
      </c>
      <c r="C438" s="80" t="s">
        <v>53</v>
      </c>
      <c r="D438" s="80" t="s">
        <v>53</v>
      </c>
      <c r="E438" s="80" t="s">
        <v>53</v>
      </c>
      <c r="F438" s="80" t="s">
        <v>53</v>
      </c>
      <c r="G438" s="37">
        <v>116.151</v>
      </c>
      <c r="H438" s="70">
        <v>30.957000000000001</v>
      </c>
      <c r="I438" s="70">
        <v>28.411999999999999</v>
      </c>
      <c r="J438" s="70">
        <v>29.175000000000001</v>
      </c>
      <c r="K438" s="70">
        <f>L438-J438-I438-H438</f>
        <v>29.26100000000001</v>
      </c>
      <c r="L438" s="37">
        <v>117.80500000000001</v>
      </c>
      <c r="M438" s="70">
        <v>32.235999999999997</v>
      </c>
      <c r="N438" s="70">
        <v>33.509</v>
      </c>
      <c r="O438" s="70">
        <v>33.537999999999997</v>
      </c>
      <c r="P438" s="70">
        <f>Q438-O438-N438-M438</f>
        <v>33.278000000000013</v>
      </c>
      <c r="Q438" s="37">
        <v>132.56100000000001</v>
      </c>
      <c r="R438" s="70">
        <v>32.222000000000001</v>
      </c>
      <c r="S438" s="70">
        <v>34.911999999999999</v>
      </c>
      <c r="T438" s="70">
        <v>37.152999999999999</v>
      </c>
      <c r="U438" s="70">
        <f>V438-T438-S438-R438</f>
        <v>38.749000000000002</v>
      </c>
      <c r="V438" s="37">
        <v>143.036</v>
      </c>
      <c r="W438" s="70">
        <v>39.354999999999997</v>
      </c>
      <c r="X438" s="70">
        <v>36.905000000000001</v>
      </c>
      <c r="Y438" s="70">
        <v>36.029000000000003</v>
      </c>
      <c r="Z438" s="70">
        <f>AA438-Y438-X438-W438</f>
        <v>37.594999999999992</v>
      </c>
      <c r="AA438" s="37">
        <v>149.88399999999999</v>
      </c>
      <c r="AB438" s="70">
        <f>38.879-18.5</f>
        <v>20.378999999999998</v>
      </c>
      <c r="AC438" s="70">
        <f>39.146-19</f>
        <v>20.146000000000001</v>
      </c>
      <c r="AD438" s="70">
        <f>38.885-19.7</f>
        <v>19.184999999999999</v>
      </c>
      <c r="AE438" s="70">
        <f>AF438-AD438-AC438-AB438</f>
        <v>24.29</v>
      </c>
      <c r="AF438" s="37">
        <v>84</v>
      </c>
      <c r="AG438" s="70">
        <v>20</v>
      </c>
      <c r="AH438" s="147">
        <v>23</v>
      </c>
      <c r="AI438" s="70">
        <v>23</v>
      </c>
      <c r="AJ438" s="70">
        <f>AK438-AI438-AH438-AG438</f>
        <v>28</v>
      </c>
      <c r="AK438" s="37">
        <v>94</v>
      </c>
      <c r="AL438" s="70">
        <v>25</v>
      </c>
      <c r="AM438" s="70">
        <v>21</v>
      </c>
      <c r="AN438" s="70">
        <v>21</v>
      </c>
      <c r="AO438" s="70">
        <v>28</v>
      </c>
      <c r="AP438" s="37">
        <v>95</v>
      </c>
      <c r="AQ438" s="70">
        <v>23</v>
      </c>
      <c r="AR438" s="70">
        <v>21</v>
      </c>
      <c r="AS438" s="70">
        <v>23</v>
      </c>
      <c r="AT438" s="70">
        <v>25</v>
      </c>
      <c r="AU438" s="37">
        <v>92</v>
      </c>
      <c r="AV438" s="70">
        <v>22</v>
      </c>
      <c r="AW438" s="70">
        <v>25</v>
      </c>
      <c r="AX438" s="70">
        <v>25</v>
      </c>
      <c r="AY438" s="70">
        <v>24</v>
      </c>
      <c r="AZ438" s="37">
        <v>96</v>
      </c>
      <c r="BA438" s="70">
        <v>23</v>
      </c>
    </row>
    <row r="439" spans="1:53">
      <c r="A439" s="71" t="s">
        <v>7</v>
      </c>
      <c r="B439" s="24"/>
      <c r="C439" s="72"/>
      <c r="D439" s="72"/>
      <c r="E439" s="72"/>
      <c r="F439" s="72"/>
      <c r="G439" s="24"/>
      <c r="H439" s="72"/>
      <c r="I439" s="72">
        <f>I438/H438-1</f>
        <v>-8.2210808540879365E-2</v>
      </c>
      <c r="J439" s="72">
        <f>J438/I438-1</f>
        <v>2.6854850063353641E-2</v>
      </c>
      <c r="K439" s="72">
        <f>K438/J438-1</f>
        <v>2.9477292202231276E-3</v>
      </c>
      <c r="L439" s="24"/>
      <c r="M439" s="72">
        <f>M438/K438-1</f>
        <v>0.10167116639896068</v>
      </c>
      <c r="N439" s="72">
        <f>N438/M438-1</f>
        <v>3.9490011167638839E-2</v>
      </c>
      <c r="O439" s="72">
        <f>O438/N438-1</f>
        <v>8.6543913575454212E-4</v>
      </c>
      <c r="P439" s="72">
        <f>P438/O438-1</f>
        <v>-7.7524002623884369E-3</v>
      </c>
      <c r="Q439" s="24"/>
      <c r="R439" s="72">
        <f>R438/P438-1</f>
        <v>-3.173267624256304E-2</v>
      </c>
      <c r="S439" s="72">
        <f>S438/R438-1</f>
        <v>8.3483334367823181E-2</v>
      </c>
      <c r="T439" s="72">
        <f>T438/S438-1</f>
        <v>6.4189963336388711E-2</v>
      </c>
      <c r="U439" s="72">
        <f>U438/T438-1</f>
        <v>4.2957500067289489E-2</v>
      </c>
      <c r="V439" s="24"/>
      <c r="W439" s="72">
        <f>W438/U438-1</f>
        <v>1.5639113267438942E-2</v>
      </c>
      <c r="X439" s="72">
        <f>X438/W438-1</f>
        <v>-6.2253843221953931E-2</v>
      </c>
      <c r="Y439" s="72">
        <f>Y438/X438-1</f>
        <v>-2.3736621054057605E-2</v>
      </c>
      <c r="Z439" s="72">
        <f>Z438/Y438-1</f>
        <v>4.3464986538621408E-2</v>
      </c>
      <c r="AA439" s="24"/>
      <c r="AB439" s="72">
        <f>AB438/Z438-1</f>
        <v>-0.45793323580263323</v>
      </c>
      <c r="AC439" s="72">
        <f>AC438/AB438-1</f>
        <v>-1.1433338240345314E-2</v>
      </c>
      <c r="AD439" s="72">
        <f>AD438/AC438-1</f>
        <v>-4.7701777027697956E-2</v>
      </c>
      <c r="AE439" s="72">
        <f>AE438/AD438-1</f>
        <v>0.26609330205890025</v>
      </c>
      <c r="AF439" s="24"/>
      <c r="AG439" s="72">
        <f>AG438/AE438-1</f>
        <v>-0.17661589131329758</v>
      </c>
      <c r="AH439" s="72">
        <f>AH438/AG438-1</f>
        <v>0.14999999999999991</v>
      </c>
      <c r="AI439" s="72">
        <f>AI438/AH438-1</f>
        <v>0</v>
      </c>
      <c r="AJ439" s="72">
        <f>AJ438/AI438-1</f>
        <v>0.21739130434782616</v>
      </c>
      <c r="AK439" s="24"/>
      <c r="AL439" s="72">
        <v>-0.1071428571428571</v>
      </c>
      <c r="AM439" s="72">
        <v>-0.16000000000000003</v>
      </c>
      <c r="AN439" s="72">
        <v>0</v>
      </c>
      <c r="AO439" s="72">
        <v>0.33333333333333326</v>
      </c>
      <c r="AP439" s="24"/>
      <c r="AQ439" s="72">
        <v>-0.1785714285714286</v>
      </c>
      <c r="AR439" s="72">
        <v>-8.6956521739130488E-2</v>
      </c>
      <c r="AS439" s="72">
        <v>9.5238095238095344E-2</v>
      </c>
      <c r="AT439" s="72">
        <v>8.6956521739130377E-2</v>
      </c>
      <c r="AU439" s="24"/>
      <c r="AV439" s="72">
        <v>-0.12</v>
      </c>
      <c r="AW439" s="72">
        <v>0.13636363636363646</v>
      </c>
      <c r="AX439" s="72">
        <v>0</v>
      </c>
      <c r="AY439" s="72">
        <v>-4.0000000000000036E-2</v>
      </c>
      <c r="AZ439" s="24"/>
      <c r="BA439" s="72">
        <v>-4.166666666666663E-2</v>
      </c>
    </row>
    <row r="440" spans="1:53">
      <c r="A440" s="71" t="s">
        <v>8</v>
      </c>
      <c r="B440" s="24"/>
      <c r="C440" s="73"/>
      <c r="D440" s="73"/>
      <c r="E440" s="73"/>
      <c r="F440" s="73"/>
      <c r="G440" s="24">
        <f>G438/B438-1</f>
        <v>0.11633204225013705</v>
      </c>
      <c r="H440" s="73"/>
      <c r="I440" s="73"/>
      <c r="J440" s="73"/>
      <c r="K440" s="73"/>
      <c r="L440" s="24">
        <f t="shared" ref="L440:AD440" si="414">L438/G438-1</f>
        <v>1.4240084028549038E-2</v>
      </c>
      <c r="M440" s="73">
        <f t="shared" si="414"/>
        <v>4.1315372936653993E-2</v>
      </c>
      <c r="N440" s="73">
        <f t="shared" si="414"/>
        <v>0.17939602984654379</v>
      </c>
      <c r="O440" s="73">
        <f t="shared" si="414"/>
        <v>0.14954584404455851</v>
      </c>
      <c r="P440" s="73">
        <f t="shared" si="414"/>
        <v>0.1372817060250846</v>
      </c>
      <c r="Q440" s="24">
        <f t="shared" si="414"/>
        <v>0.12525784134799034</v>
      </c>
      <c r="R440" s="73">
        <f t="shared" si="414"/>
        <v>-4.3429705918840433E-4</v>
      </c>
      <c r="S440" s="73">
        <f t="shared" si="414"/>
        <v>4.1869348533229767E-2</v>
      </c>
      <c r="T440" s="73">
        <f t="shared" si="414"/>
        <v>0.10778818057129236</v>
      </c>
      <c r="U440" s="73">
        <f t="shared" si="414"/>
        <v>0.16440290882865516</v>
      </c>
      <c r="V440" s="24">
        <f t="shared" si="414"/>
        <v>7.9020224651292548E-2</v>
      </c>
      <c r="W440" s="73">
        <f t="shared" si="414"/>
        <v>0.22137049221029104</v>
      </c>
      <c r="X440" s="73">
        <f t="shared" si="414"/>
        <v>5.7086388634280505E-2</v>
      </c>
      <c r="Y440" s="73">
        <f t="shared" si="414"/>
        <v>-3.0253276989745004E-2</v>
      </c>
      <c r="Z440" s="73">
        <f t="shared" si="414"/>
        <v>-2.9781413713902527E-2</v>
      </c>
      <c r="AA440" s="24">
        <f t="shared" si="414"/>
        <v>4.7876059173914243E-2</v>
      </c>
      <c r="AB440" s="73">
        <f t="shared" si="414"/>
        <v>-0.48217507305297935</v>
      </c>
      <c r="AC440" s="73">
        <f t="shared" si="414"/>
        <v>-0.45411190895542608</v>
      </c>
      <c r="AD440" s="73">
        <f t="shared" si="414"/>
        <v>-0.46751228177301629</v>
      </c>
      <c r="AE440" s="73">
        <f t="shared" ref="AE440:AN440" si="415">AE438/Z438-1</f>
        <v>-0.35390344460699552</v>
      </c>
      <c r="AF440" s="24">
        <f t="shared" si="415"/>
        <v>-0.43956659816925081</v>
      </c>
      <c r="AG440" s="73">
        <f t="shared" si="415"/>
        <v>-1.8597575936012412E-2</v>
      </c>
      <c r="AH440" s="73">
        <f t="shared" si="415"/>
        <v>0.14166583937258004</v>
      </c>
      <c r="AI440" s="73">
        <f t="shared" si="415"/>
        <v>0.19885327078446702</v>
      </c>
      <c r="AJ440" s="73">
        <f t="shared" si="415"/>
        <v>0.1527377521613833</v>
      </c>
      <c r="AK440" s="24">
        <v>0.11904761904761907</v>
      </c>
      <c r="AL440" s="73">
        <v>0.25</v>
      </c>
      <c r="AM440" s="73">
        <v>-8.6956521739130488E-2</v>
      </c>
      <c r="AN440" s="73">
        <v>-8.6956521739130488E-2</v>
      </c>
      <c r="AO440" s="73">
        <v>0</v>
      </c>
      <c r="AP440" s="24">
        <v>1.0638297872340496E-2</v>
      </c>
      <c r="AQ440" s="73">
        <v>-7.999999999999996E-2</v>
      </c>
      <c r="AR440" s="73">
        <v>0</v>
      </c>
      <c r="AS440" s="73">
        <v>9.5238095238095344E-2</v>
      </c>
      <c r="AT440" s="73">
        <v>-0.1071428571428571</v>
      </c>
      <c r="AU440" s="24">
        <v>-3.157894736842104E-2</v>
      </c>
      <c r="AV440" s="73">
        <v>-4.3478260869565188E-2</v>
      </c>
      <c r="AW440" s="73">
        <v>0.19047619047619047</v>
      </c>
      <c r="AX440" s="73">
        <v>8.6956521739130377E-2</v>
      </c>
      <c r="AY440" s="73">
        <v>-4.0000000000000036E-2</v>
      </c>
      <c r="AZ440" s="24">
        <v>4.3478260869565188E-2</v>
      </c>
      <c r="BA440" s="73">
        <v>4.5454545454545414E-2</v>
      </c>
    </row>
    <row r="441" spans="1:53">
      <c r="A441" s="69" t="s">
        <v>210</v>
      </c>
      <c r="B441" s="123" t="s">
        <v>45</v>
      </c>
      <c r="C441" s="80" t="s">
        <v>53</v>
      </c>
      <c r="D441" s="80" t="s">
        <v>53</v>
      </c>
      <c r="E441" s="80" t="s">
        <v>53</v>
      </c>
      <c r="F441" s="80" t="s">
        <v>53</v>
      </c>
      <c r="G441" s="123" t="s">
        <v>45</v>
      </c>
      <c r="H441" s="80" t="s">
        <v>53</v>
      </c>
      <c r="I441" s="80" t="s">
        <v>53</v>
      </c>
      <c r="J441" s="80" t="s">
        <v>53</v>
      </c>
      <c r="K441" s="80" t="s">
        <v>53</v>
      </c>
      <c r="L441" s="123" t="s">
        <v>45</v>
      </c>
      <c r="M441" s="80" t="s">
        <v>53</v>
      </c>
      <c r="N441" s="80" t="s">
        <v>53</v>
      </c>
      <c r="O441" s="80" t="s">
        <v>53</v>
      </c>
      <c r="P441" s="80" t="s">
        <v>53</v>
      </c>
      <c r="Q441" s="123" t="s">
        <v>45</v>
      </c>
      <c r="R441" s="80" t="s">
        <v>53</v>
      </c>
      <c r="S441" s="80" t="s">
        <v>53</v>
      </c>
      <c r="T441" s="80" t="s">
        <v>53</v>
      </c>
      <c r="U441" s="80" t="s">
        <v>53</v>
      </c>
      <c r="V441" s="123" t="s">
        <v>45</v>
      </c>
      <c r="W441" s="80" t="s">
        <v>53</v>
      </c>
      <c r="X441" s="80" t="s">
        <v>53</v>
      </c>
      <c r="Y441" s="80" t="s">
        <v>53</v>
      </c>
      <c r="Z441" s="80" t="s">
        <v>53</v>
      </c>
      <c r="AA441" s="123" t="s">
        <v>45</v>
      </c>
      <c r="AB441" s="80" t="s">
        <v>53</v>
      </c>
      <c r="AC441" s="80" t="s">
        <v>53</v>
      </c>
      <c r="AD441" s="80" t="s">
        <v>53</v>
      </c>
      <c r="AE441" s="80" t="s">
        <v>53</v>
      </c>
      <c r="AF441" s="123" t="s">
        <v>45</v>
      </c>
      <c r="AG441" s="70">
        <v>62</v>
      </c>
      <c r="AH441" s="70">
        <v>68</v>
      </c>
      <c r="AI441" s="70">
        <v>67</v>
      </c>
      <c r="AJ441" s="70">
        <f>AK441-AI441-AH441-AG441</f>
        <v>70</v>
      </c>
      <c r="AK441" s="37">
        <v>267</v>
      </c>
      <c r="AL441" s="70">
        <v>69</v>
      </c>
      <c r="AM441" s="70">
        <v>62</v>
      </c>
      <c r="AN441" s="70">
        <v>69</v>
      </c>
      <c r="AO441" s="70">
        <v>70</v>
      </c>
      <c r="AP441" s="37">
        <v>270</v>
      </c>
      <c r="AQ441" s="70">
        <v>61</v>
      </c>
      <c r="AR441" s="70">
        <v>60</v>
      </c>
      <c r="AS441" s="70">
        <v>64</v>
      </c>
      <c r="AT441" s="70">
        <v>64</v>
      </c>
      <c r="AU441" s="37">
        <v>249</v>
      </c>
      <c r="AV441" s="70">
        <v>59</v>
      </c>
      <c r="AW441" s="70">
        <v>59</v>
      </c>
      <c r="AX441" s="70">
        <v>62</v>
      </c>
      <c r="AY441" s="70">
        <v>66</v>
      </c>
      <c r="AZ441" s="37">
        <v>246</v>
      </c>
      <c r="BA441" s="70">
        <v>57</v>
      </c>
    </row>
    <row r="442" spans="1:53">
      <c r="A442" s="71" t="s">
        <v>7</v>
      </c>
      <c r="B442" s="24"/>
      <c r="C442" s="73"/>
      <c r="D442" s="73"/>
      <c r="E442" s="73"/>
      <c r="F442" s="73"/>
      <c r="G442" s="24"/>
      <c r="H442" s="73"/>
      <c r="I442" s="73"/>
      <c r="J442" s="73"/>
      <c r="K442" s="73"/>
      <c r="L442" s="24"/>
      <c r="M442" s="73"/>
      <c r="N442" s="73"/>
      <c r="O442" s="73"/>
      <c r="P442" s="73"/>
      <c r="Q442" s="24"/>
      <c r="R442" s="73"/>
      <c r="S442" s="73"/>
      <c r="T442" s="73"/>
      <c r="U442" s="73"/>
      <c r="V442" s="24"/>
      <c r="W442" s="73"/>
      <c r="X442" s="73"/>
      <c r="Y442" s="73"/>
      <c r="Z442" s="73"/>
      <c r="AA442" s="24"/>
      <c r="AB442" s="72"/>
      <c r="AC442" s="72"/>
      <c r="AD442" s="72"/>
      <c r="AE442" s="72"/>
      <c r="AF442" s="24"/>
      <c r="AG442" s="72"/>
      <c r="AH442" s="72">
        <f>AH441/AG441-1</f>
        <v>9.6774193548387011E-2</v>
      </c>
      <c r="AI442" s="72">
        <f>AI441/AH441-1</f>
        <v>-1.4705882352941124E-2</v>
      </c>
      <c r="AJ442" s="72">
        <f>AJ441/AI441-1</f>
        <v>4.4776119402984982E-2</v>
      </c>
      <c r="AK442" s="24"/>
      <c r="AL442" s="72">
        <v>-1.4285714285714235E-2</v>
      </c>
      <c r="AM442" s="72">
        <v>-0.10144927536231885</v>
      </c>
      <c r="AN442" s="72">
        <v>0.11290322580645151</v>
      </c>
      <c r="AO442" s="72">
        <v>1.449275362318847E-2</v>
      </c>
      <c r="AP442" s="24"/>
      <c r="AQ442" s="72">
        <v>-0.12857142857142856</v>
      </c>
      <c r="AR442" s="72">
        <v>-1.6393442622950838E-2</v>
      </c>
      <c r="AS442" s="72">
        <v>6.6666666666666652E-2</v>
      </c>
      <c r="AT442" s="72">
        <v>0</v>
      </c>
      <c r="AU442" s="24"/>
      <c r="AV442" s="72">
        <v>-7.8125E-2</v>
      </c>
      <c r="AW442" s="72">
        <v>0</v>
      </c>
      <c r="AX442" s="72">
        <v>5.0847457627118731E-2</v>
      </c>
      <c r="AY442" s="72">
        <v>6.4516129032258007E-2</v>
      </c>
      <c r="AZ442" s="24"/>
      <c r="BA442" s="72">
        <v>-0.13636363636363635</v>
      </c>
    </row>
    <row r="443" spans="1:53">
      <c r="A443" s="71" t="s">
        <v>8</v>
      </c>
      <c r="B443" s="24"/>
      <c r="C443" s="73"/>
      <c r="D443" s="73"/>
      <c r="E443" s="73"/>
      <c r="F443" s="73"/>
      <c r="G443" s="24"/>
      <c r="H443" s="73"/>
      <c r="I443" s="73"/>
      <c r="J443" s="73"/>
      <c r="K443" s="73"/>
      <c r="L443" s="24"/>
      <c r="M443" s="73"/>
      <c r="N443" s="73"/>
      <c r="O443" s="73"/>
      <c r="P443" s="73"/>
      <c r="Q443" s="24"/>
      <c r="R443" s="73"/>
      <c r="S443" s="73"/>
      <c r="T443" s="73"/>
      <c r="U443" s="73"/>
      <c r="V443" s="24"/>
      <c r="W443" s="73"/>
      <c r="X443" s="73"/>
      <c r="Y443" s="73"/>
      <c r="Z443" s="73"/>
      <c r="AA443" s="24"/>
      <c r="AB443" s="73"/>
      <c r="AC443" s="73"/>
      <c r="AD443" s="73"/>
      <c r="AE443" s="73"/>
      <c r="AF443" s="24"/>
      <c r="AG443" s="73"/>
      <c r="AH443" s="73"/>
      <c r="AI443" s="73"/>
      <c r="AJ443" s="73"/>
      <c r="AK443" s="24"/>
      <c r="AL443" s="73">
        <v>0.11290322580645151</v>
      </c>
      <c r="AM443" s="73">
        <v>-8.8235294117647078E-2</v>
      </c>
      <c r="AN443" s="73">
        <v>2.9850746268656803E-2</v>
      </c>
      <c r="AO443" s="73">
        <v>0</v>
      </c>
      <c r="AP443" s="24">
        <v>1.1235955056179803E-2</v>
      </c>
      <c r="AQ443" s="73">
        <v>-0.11594202898550721</v>
      </c>
      <c r="AR443" s="73">
        <v>-3.2258064516129004E-2</v>
      </c>
      <c r="AS443" s="73">
        <v>-7.2463768115942018E-2</v>
      </c>
      <c r="AT443" s="73">
        <v>-8.5714285714285743E-2</v>
      </c>
      <c r="AU443" s="24">
        <v>-7.7777777777777724E-2</v>
      </c>
      <c r="AV443" s="73">
        <v>-3.2786885245901676E-2</v>
      </c>
      <c r="AW443" s="73">
        <v>-1.6666666666666718E-2</v>
      </c>
      <c r="AX443" s="73">
        <v>-3.125E-2</v>
      </c>
      <c r="AY443" s="73">
        <v>3.125E-2</v>
      </c>
      <c r="AZ443" s="24">
        <v>-1.2048192771084376E-2</v>
      </c>
      <c r="BA443" s="73">
        <v>-3.3898305084745783E-2</v>
      </c>
    </row>
    <row r="444" spans="1:53" s="36" customFormat="1">
      <c r="A444" s="69" t="s">
        <v>211</v>
      </c>
      <c r="B444" s="37">
        <v>273.202</v>
      </c>
      <c r="C444" s="70">
        <v>64.709999999999994</v>
      </c>
      <c r="D444" s="70">
        <v>60.594999999999999</v>
      </c>
      <c r="E444" s="70">
        <v>58.738</v>
      </c>
      <c r="F444" s="70">
        <f>G444-E444-D444-C444</f>
        <v>65.837000000000003</v>
      </c>
      <c r="G444" s="37">
        <v>249.88</v>
      </c>
      <c r="H444" s="70">
        <v>56.545000000000002</v>
      </c>
      <c r="I444" s="70">
        <v>55.561999999999998</v>
      </c>
      <c r="J444" s="70">
        <v>58.927999999999997</v>
      </c>
      <c r="K444" s="70">
        <f>L444-J444-I444-H444</f>
        <v>63.168000000000006</v>
      </c>
      <c r="L444" s="37">
        <v>234.203</v>
      </c>
      <c r="M444" s="70">
        <v>63.753999999999998</v>
      </c>
      <c r="N444" s="70">
        <v>68.176000000000002</v>
      </c>
      <c r="O444" s="70">
        <v>67.78</v>
      </c>
      <c r="P444" s="70">
        <f>Q444-O444-N444-M444</f>
        <v>85.02200000000002</v>
      </c>
      <c r="Q444" s="37">
        <v>284.73200000000003</v>
      </c>
      <c r="R444" s="70">
        <v>68.593000000000004</v>
      </c>
      <c r="S444" s="70">
        <v>71.131</v>
      </c>
      <c r="T444" s="70">
        <v>74.073999999999998</v>
      </c>
      <c r="U444" s="70">
        <f>V444-T444-S444-R444</f>
        <v>62.594999999999956</v>
      </c>
      <c r="V444" s="37">
        <v>276.39299999999997</v>
      </c>
      <c r="W444" s="70">
        <v>65.841999999999999</v>
      </c>
      <c r="X444" s="70">
        <v>53.802</v>
      </c>
      <c r="Y444" s="70">
        <v>64.432000000000002</v>
      </c>
      <c r="Z444" s="70">
        <f>AA444-Y444-X444-W444</f>
        <v>64.173999999999992</v>
      </c>
      <c r="AA444" s="37">
        <v>248.25</v>
      </c>
      <c r="AB444" s="70">
        <v>61.953000000000003</v>
      </c>
      <c r="AC444" s="70">
        <v>64.105000000000004</v>
      </c>
      <c r="AD444" s="70">
        <v>66.006</v>
      </c>
      <c r="AE444" s="70">
        <f>AF444-AD444-AC444-AB444</f>
        <v>70.671000000000021</v>
      </c>
      <c r="AF444" s="37">
        <v>262.73500000000001</v>
      </c>
      <c r="AG444" s="70">
        <v>70</v>
      </c>
      <c r="AH444" s="70">
        <v>74</v>
      </c>
      <c r="AI444" s="70">
        <v>75</v>
      </c>
      <c r="AJ444" s="70">
        <f>AK444-AI444-AH444-AG444</f>
        <v>78</v>
      </c>
      <c r="AK444" s="37">
        <v>297</v>
      </c>
      <c r="AL444" s="70">
        <v>76</v>
      </c>
      <c r="AM444" s="70">
        <v>80</v>
      </c>
      <c r="AN444" s="70">
        <v>78</v>
      </c>
      <c r="AO444" s="70">
        <v>88</v>
      </c>
      <c r="AP444" s="37">
        <v>322</v>
      </c>
      <c r="AQ444" s="70">
        <v>76</v>
      </c>
      <c r="AR444" s="70">
        <v>74</v>
      </c>
      <c r="AS444" s="70">
        <v>75</v>
      </c>
      <c r="AT444" s="70">
        <v>71</v>
      </c>
      <c r="AU444" s="37">
        <v>296</v>
      </c>
      <c r="AV444" s="70">
        <v>70</v>
      </c>
      <c r="AW444" s="70">
        <v>71</v>
      </c>
      <c r="AX444" s="70">
        <v>72</v>
      </c>
      <c r="AY444" s="70">
        <v>72</v>
      </c>
      <c r="AZ444" s="37">
        <v>285</v>
      </c>
      <c r="BA444" s="70">
        <v>79</v>
      </c>
    </row>
    <row r="445" spans="1:53">
      <c r="A445" s="82" t="s">
        <v>7</v>
      </c>
      <c r="B445" s="24"/>
      <c r="C445" s="72"/>
      <c r="D445" s="72">
        <f>D444/C444-1</f>
        <v>-6.3591407819502344E-2</v>
      </c>
      <c r="E445" s="72">
        <f>E444/D444-1</f>
        <v>-3.0646092911956413E-2</v>
      </c>
      <c r="F445" s="72">
        <f>F444/E444-1</f>
        <v>0.12085872859137181</v>
      </c>
      <c r="G445" s="24"/>
      <c r="H445" s="72">
        <f>H444/F444-1</f>
        <v>-0.14113644303355255</v>
      </c>
      <c r="I445" s="72">
        <f>I444/H444-1</f>
        <v>-1.7384384118843466E-2</v>
      </c>
      <c r="J445" s="72">
        <f>J444/I444-1</f>
        <v>6.0580972607177541E-2</v>
      </c>
      <c r="K445" s="72">
        <f>K444/J444-1</f>
        <v>7.1952212869943244E-2</v>
      </c>
      <c r="L445" s="24"/>
      <c r="M445" s="72">
        <f>M444/K444-1</f>
        <v>9.276849037487267E-3</v>
      </c>
      <c r="N445" s="72">
        <f>N444/M444-1</f>
        <v>6.9360353860149937E-2</v>
      </c>
      <c r="O445" s="72">
        <f>O444/N444-1</f>
        <v>-5.8084956582962199E-3</v>
      </c>
      <c r="P445" s="72">
        <f>P444/O444-1</f>
        <v>0.25438182354676919</v>
      </c>
      <c r="Q445" s="24"/>
      <c r="R445" s="72">
        <f>R444/P444-1</f>
        <v>-0.19323233986497623</v>
      </c>
      <c r="S445" s="72">
        <f>S444/R444-1</f>
        <v>3.7000860146078951E-2</v>
      </c>
      <c r="T445" s="72">
        <f>T444/S444-1</f>
        <v>4.1374365607119268E-2</v>
      </c>
      <c r="U445" s="72">
        <f>U444/T444-1</f>
        <v>-0.15496665496665551</v>
      </c>
      <c r="V445" s="24"/>
      <c r="W445" s="72">
        <f>W444/U444-1</f>
        <v>5.187315280773297E-2</v>
      </c>
      <c r="X445" s="72">
        <f>X444/W444-1</f>
        <v>-0.18286200297682331</v>
      </c>
      <c r="Y445" s="72">
        <f>Y444/X444-1</f>
        <v>0.19757629827887446</v>
      </c>
      <c r="Z445" s="72">
        <v>-4.0042215048424756E-3</v>
      </c>
      <c r="AA445" s="24"/>
      <c r="AB445" s="72">
        <f>AB444/Z444-1</f>
        <v>-3.4609031695078896E-2</v>
      </c>
      <c r="AC445" s="72">
        <f>AC444/AB444-1</f>
        <v>3.4736009555630831E-2</v>
      </c>
      <c r="AD445" s="72">
        <f>AD444/AC444-1</f>
        <v>2.9654473130021008E-2</v>
      </c>
      <c r="AE445" s="72">
        <f>AE444/AD444-1</f>
        <v>7.0675393146077958E-2</v>
      </c>
      <c r="AF445" s="24"/>
      <c r="AG445" s="72">
        <f>AG444/AE444-1</f>
        <v>-9.4947007966496022E-3</v>
      </c>
      <c r="AH445" s="72">
        <f>AH444/AG444-1</f>
        <v>5.7142857142857162E-2</v>
      </c>
      <c r="AI445" s="72">
        <f>AI444/AH444-1</f>
        <v>1.3513513513513598E-2</v>
      </c>
      <c r="AJ445" s="72">
        <f>AJ444/AI444-1</f>
        <v>4.0000000000000036E-2</v>
      </c>
      <c r="AK445" s="24"/>
      <c r="AL445" s="72">
        <v>-2.5641025641025661E-2</v>
      </c>
      <c r="AM445" s="72">
        <v>5.2631578947368363E-2</v>
      </c>
      <c r="AN445" s="72">
        <v>-2.5000000000000022E-2</v>
      </c>
      <c r="AO445" s="72">
        <v>0.12820512820512819</v>
      </c>
      <c r="AP445" s="24"/>
      <c r="AQ445" s="72">
        <v>-0.13636363636363635</v>
      </c>
      <c r="AR445" s="72">
        <v>-2.6315789473684181E-2</v>
      </c>
      <c r="AS445" s="72">
        <v>1.3513513513513598E-2</v>
      </c>
      <c r="AT445" s="72">
        <v>-5.3333333333333344E-2</v>
      </c>
      <c r="AU445" s="24"/>
      <c r="AV445" s="72">
        <v>-1.4084507042253502E-2</v>
      </c>
      <c r="AW445" s="72">
        <v>1.4285714285714235E-2</v>
      </c>
      <c r="AX445" s="72">
        <v>1.4084507042253502E-2</v>
      </c>
      <c r="AY445" s="72">
        <v>0</v>
      </c>
      <c r="AZ445" s="24"/>
      <c r="BA445" s="72">
        <v>9.7222222222222321E-2</v>
      </c>
    </row>
    <row r="446" spans="1:53">
      <c r="A446" s="82" t="s">
        <v>8</v>
      </c>
      <c r="B446" s="24"/>
      <c r="C446" s="73"/>
      <c r="D446" s="73"/>
      <c r="E446" s="73"/>
      <c r="F446" s="73"/>
      <c r="G446" s="24">
        <f t="shared" ref="G446:N446" si="416">G444/B444-1</f>
        <v>-8.5365407281059458E-2</v>
      </c>
      <c r="H446" s="73">
        <f t="shared" si="416"/>
        <v>-0.12617833410601131</v>
      </c>
      <c r="I446" s="73">
        <f t="shared" si="416"/>
        <v>-8.3059658387655722E-2</v>
      </c>
      <c r="J446" s="73">
        <f t="shared" si="416"/>
        <v>3.2347032585378077E-3</v>
      </c>
      <c r="K446" s="73">
        <f t="shared" si="416"/>
        <v>-4.0539514254902209E-2</v>
      </c>
      <c r="L446" s="24">
        <f t="shared" si="416"/>
        <v>-6.2738114294861536E-2</v>
      </c>
      <c r="M446" s="73">
        <f t="shared" si="416"/>
        <v>0.12749137854805892</v>
      </c>
      <c r="N446" s="73">
        <f t="shared" si="416"/>
        <v>0.22702566502285748</v>
      </c>
      <c r="O446" s="73">
        <f t="shared" ref="O446:Y446" si="417">O444/J444-1</f>
        <v>0.15021721422753198</v>
      </c>
      <c r="P446" s="73">
        <f t="shared" si="417"/>
        <v>0.34596631205673778</v>
      </c>
      <c r="Q446" s="24">
        <f t="shared" si="417"/>
        <v>0.21574873080191126</v>
      </c>
      <c r="R446" s="73">
        <f t="shared" si="417"/>
        <v>7.5901119929729921E-2</v>
      </c>
      <c r="S446" s="73">
        <f t="shared" si="417"/>
        <v>4.3343698662285712E-2</v>
      </c>
      <c r="T446" s="73">
        <f t="shared" si="417"/>
        <v>9.2859250516376557E-2</v>
      </c>
      <c r="U446" s="73">
        <f t="shared" si="417"/>
        <v>-0.26377878666698096</v>
      </c>
      <c r="V446" s="24">
        <f t="shared" si="417"/>
        <v>-2.928718935700958E-2</v>
      </c>
      <c r="W446" s="73">
        <f t="shared" si="417"/>
        <v>-4.0106133278906109E-2</v>
      </c>
      <c r="X446" s="73">
        <f t="shared" si="417"/>
        <v>-0.24362092477260266</v>
      </c>
      <c r="Y446" s="73">
        <f t="shared" si="417"/>
        <v>-0.13016713016713011</v>
      </c>
      <c r="Z446" s="73">
        <v>2.5225657001358481E-2</v>
      </c>
      <c r="AA446" s="24">
        <v>-0.10182240505367346</v>
      </c>
      <c r="AB446" s="73">
        <f t="shared" ref="AB446:AI446" si="418">AB444/W444-1</f>
        <v>-5.9065641991433937E-2</v>
      </c>
      <c r="AC446" s="73">
        <f t="shared" si="418"/>
        <v>0.19149845730642001</v>
      </c>
      <c r="AD446" s="73">
        <f t="shared" si="418"/>
        <v>2.4428855227216273E-2</v>
      </c>
      <c r="AE446" s="73">
        <f t="shared" si="418"/>
        <v>0.10124037772306593</v>
      </c>
      <c r="AF446" s="24">
        <f t="shared" si="418"/>
        <v>5.8348439073514724E-2</v>
      </c>
      <c r="AG446" s="73">
        <f t="shared" si="418"/>
        <v>0.12988878666085579</v>
      </c>
      <c r="AH446" s="73">
        <f t="shared" si="418"/>
        <v>0.15435613446689023</v>
      </c>
      <c r="AI446" s="73">
        <f t="shared" si="418"/>
        <v>0.13626033996909381</v>
      </c>
      <c r="AJ446" s="73">
        <f t="shared" ref="AJ446:AS446" si="419">AJ444/AE444-1</f>
        <v>0.10370590482659048</v>
      </c>
      <c r="AK446" s="24">
        <v>0.13041657944316509</v>
      </c>
      <c r="AL446" s="73">
        <v>8.5714285714285632E-2</v>
      </c>
      <c r="AM446" s="73">
        <v>8.1081081081081141E-2</v>
      </c>
      <c r="AN446" s="73">
        <v>4.0000000000000036E-2</v>
      </c>
      <c r="AO446" s="73">
        <v>0.12820512820512819</v>
      </c>
      <c r="AP446" s="24">
        <v>8.4175084175084125E-2</v>
      </c>
      <c r="AQ446" s="73">
        <v>0</v>
      </c>
      <c r="AR446" s="73">
        <v>-7.4999999999999956E-2</v>
      </c>
      <c r="AS446" s="73">
        <v>-3.8461538461538436E-2</v>
      </c>
      <c r="AT446" s="73">
        <v>-0.19318181818181823</v>
      </c>
      <c r="AU446" s="24">
        <v>-8.0745341614906874E-2</v>
      </c>
      <c r="AV446" s="73">
        <v>-7.8947368421052655E-2</v>
      </c>
      <c r="AW446" s="73">
        <v>-4.0540540540540571E-2</v>
      </c>
      <c r="AX446" s="73">
        <v>-4.0000000000000036E-2</v>
      </c>
      <c r="AY446" s="73">
        <v>1.4084507042253502E-2</v>
      </c>
      <c r="AZ446" s="24">
        <v>-3.7162162162162171E-2</v>
      </c>
      <c r="BA446" s="73">
        <v>0.12857142857142856</v>
      </c>
    </row>
    <row r="447" spans="1:53" s="36" customFormat="1">
      <c r="A447" s="69" t="s">
        <v>43</v>
      </c>
      <c r="B447" s="37">
        <v>55.999000000000002</v>
      </c>
      <c r="C447" s="70">
        <v>26.847999999999999</v>
      </c>
      <c r="D447" s="70">
        <v>42.551000000000002</v>
      </c>
      <c r="E447" s="70">
        <v>52.412999999999997</v>
      </c>
      <c r="F447" s="70">
        <f>G447-E447-D447-C447</f>
        <v>55.335999999999999</v>
      </c>
      <c r="G447" s="37">
        <v>177.148</v>
      </c>
      <c r="H447" s="70">
        <v>65.95</v>
      </c>
      <c r="I447" s="70">
        <v>59.054000000000002</v>
      </c>
      <c r="J447" s="70">
        <v>60.661000000000001</v>
      </c>
      <c r="K447" s="70">
        <f>L447-J447-I447-H447</f>
        <v>62.552000000000007</v>
      </c>
      <c r="L447" s="37">
        <v>248.21700000000001</v>
      </c>
      <c r="M447" s="70">
        <v>58.691000000000003</v>
      </c>
      <c r="N447" s="70">
        <v>7.2850000000000001</v>
      </c>
      <c r="O447" s="70">
        <v>71.742000000000004</v>
      </c>
      <c r="P447" s="70">
        <f>Q447-O447-N447-M447</f>
        <v>40.600999999999985</v>
      </c>
      <c r="Q447" s="37">
        <v>178.31899999999999</v>
      </c>
      <c r="R447" s="70">
        <v>61.37</v>
      </c>
      <c r="S447" s="70">
        <v>65.313000000000002</v>
      </c>
      <c r="T447" s="70">
        <v>63.363999999999997</v>
      </c>
      <c r="U447" s="70">
        <v>106</v>
      </c>
      <c r="V447" s="37">
        <v>294.86799999999999</v>
      </c>
      <c r="W447" s="70">
        <v>51.604999999999997</v>
      </c>
      <c r="X447" s="70">
        <v>74.488</v>
      </c>
      <c r="Y447" s="70">
        <v>53.99</v>
      </c>
      <c r="Z447" s="70">
        <f>AA447-Y447-X447-W447</f>
        <v>72.665999999999997</v>
      </c>
      <c r="AA447" s="37">
        <v>252.749</v>
      </c>
      <c r="AB447" s="70">
        <v>67.429000000000002</v>
      </c>
      <c r="AC447" s="70">
        <v>67.584000000000003</v>
      </c>
      <c r="AD447" s="70">
        <v>72.408000000000001</v>
      </c>
      <c r="AE447" s="70">
        <f>AF447-AD447-AC447-AB447</f>
        <v>59.578999999999979</v>
      </c>
      <c r="AF447" s="37">
        <v>267</v>
      </c>
      <c r="AG447" s="70">
        <v>73</v>
      </c>
      <c r="AH447" s="70">
        <v>67</v>
      </c>
      <c r="AI447" s="70">
        <v>76</v>
      </c>
      <c r="AJ447" s="70">
        <f>AK447-AI447-AH447-AG447</f>
        <v>57</v>
      </c>
      <c r="AK447" s="37">
        <v>273</v>
      </c>
      <c r="AL447" s="70">
        <v>59</v>
      </c>
      <c r="AM447" s="70">
        <v>70</v>
      </c>
      <c r="AN447" s="70">
        <v>74</v>
      </c>
      <c r="AO447" s="70">
        <v>47</v>
      </c>
      <c r="AP447" s="37">
        <v>250</v>
      </c>
      <c r="AQ447" s="70">
        <v>57</v>
      </c>
      <c r="AR447" s="70">
        <v>77</v>
      </c>
      <c r="AS447" s="70">
        <v>62</v>
      </c>
      <c r="AT447" s="70">
        <v>68</v>
      </c>
      <c r="AU447" s="37">
        <v>264</v>
      </c>
      <c r="AV447" s="70">
        <v>52</v>
      </c>
      <c r="AW447" s="70">
        <v>49</v>
      </c>
      <c r="AX447" s="70">
        <v>35</v>
      </c>
      <c r="AY447" s="70">
        <v>27</v>
      </c>
      <c r="AZ447" s="37">
        <v>163</v>
      </c>
      <c r="BA447" s="151">
        <v>-1</v>
      </c>
    </row>
    <row r="448" spans="1:53">
      <c r="A448" s="71" t="s">
        <v>7</v>
      </c>
      <c r="B448" s="24"/>
      <c r="C448" s="72"/>
      <c r="D448" s="72">
        <f>D447/C447-1</f>
        <v>0.58488528009535168</v>
      </c>
      <c r="E448" s="72">
        <f>E447/D447-1</f>
        <v>0.2317689361002091</v>
      </c>
      <c r="F448" s="72">
        <f>F447/E447-1</f>
        <v>5.576860702497477E-2</v>
      </c>
      <c r="G448" s="24"/>
      <c r="H448" s="72">
        <f>H447/F447-1</f>
        <v>0.19181003325140966</v>
      </c>
      <c r="I448" s="72">
        <f>I447/H447-1</f>
        <v>-0.10456406368460958</v>
      </c>
      <c r="J448" s="72">
        <f>J447/I447-1</f>
        <v>2.7212381887763648E-2</v>
      </c>
      <c r="K448" s="72">
        <f>K447/J447-1</f>
        <v>3.1173241456619705E-2</v>
      </c>
      <c r="L448" s="24"/>
      <c r="M448" s="72">
        <f>M447/K447-1</f>
        <v>-6.172464509528075E-2</v>
      </c>
      <c r="N448" s="72">
        <f>N447/M447-1</f>
        <v>-0.87587534715714499</v>
      </c>
      <c r="O448" s="72">
        <f>O447/N447-1</f>
        <v>8.847906657515443</v>
      </c>
      <c r="P448" s="72">
        <f>P447/O447-1</f>
        <v>-0.43406930389451115</v>
      </c>
      <c r="Q448" s="24"/>
      <c r="R448" s="72">
        <f>R447/P447-1</f>
        <v>0.51153912465210261</v>
      </c>
      <c r="S448" s="72">
        <f>S447/R447-1</f>
        <v>6.4249633371354253E-2</v>
      </c>
      <c r="T448" s="72">
        <f>T447/S447-1</f>
        <v>-2.9840919878125427E-2</v>
      </c>
      <c r="U448" s="72">
        <f>U447/T447-1</f>
        <v>0.67287418723565429</v>
      </c>
      <c r="V448" s="24"/>
      <c r="W448" s="72">
        <f>W447/U447-1</f>
        <v>-0.51316037735849052</v>
      </c>
      <c r="X448" s="72">
        <f>X447/W447-1</f>
        <v>0.44342602461001857</v>
      </c>
      <c r="Y448" s="72">
        <f>Y447/X447-1</f>
        <v>-0.27518526474062932</v>
      </c>
      <c r="Z448" s="72">
        <v>0.34591591035376901</v>
      </c>
      <c r="AA448" s="24"/>
      <c r="AB448" s="72">
        <f>AB447/Z447-1</f>
        <v>-7.2069468527234171E-2</v>
      </c>
      <c r="AC448" s="72">
        <f>AC447/AB447-1</f>
        <v>2.2987142030876928E-3</v>
      </c>
      <c r="AD448" s="72">
        <f>AD447/AC447-1</f>
        <v>7.1377840909090828E-2</v>
      </c>
      <c r="AE448" s="72">
        <f>AE447/AD447-1</f>
        <v>-0.17717655507678742</v>
      </c>
      <c r="AF448" s="24"/>
      <c r="AG448" s="72">
        <f>AG447/AE447-1</f>
        <v>0.22526393527920963</v>
      </c>
      <c r="AH448" s="72">
        <f>AH447/AG447-1</f>
        <v>-8.2191780821917804E-2</v>
      </c>
      <c r="AI448" s="72">
        <f>AI447/AH447-1</f>
        <v>0.13432835820895517</v>
      </c>
      <c r="AJ448" s="72">
        <f>AJ447/AI447-1</f>
        <v>-0.25</v>
      </c>
      <c r="AK448" s="24"/>
      <c r="AL448" s="72">
        <v>3.5087719298245723E-2</v>
      </c>
      <c r="AM448" s="72">
        <v>0.18644067796610164</v>
      </c>
      <c r="AN448" s="72">
        <v>5.7142857142857162E-2</v>
      </c>
      <c r="AO448" s="72">
        <v>-0.36486486486486491</v>
      </c>
      <c r="AP448" s="24"/>
      <c r="AQ448" s="72">
        <v>0.2127659574468086</v>
      </c>
      <c r="AR448" s="72">
        <v>0.35087719298245612</v>
      </c>
      <c r="AS448" s="72">
        <v>-0.19480519480519476</v>
      </c>
      <c r="AT448" s="72">
        <v>9.6774193548387011E-2</v>
      </c>
      <c r="AU448" s="24"/>
      <c r="AV448" s="72">
        <v>-0.23529411764705888</v>
      </c>
      <c r="AW448" s="72">
        <v>-5.7692307692307709E-2</v>
      </c>
      <c r="AX448" s="72">
        <v>-0.2857142857142857</v>
      </c>
      <c r="AY448" s="72">
        <v>-0.22857142857142854</v>
      </c>
      <c r="AZ448" s="24"/>
      <c r="BA448" s="85" t="s">
        <v>44</v>
      </c>
    </row>
    <row r="449" spans="1:55">
      <c r="A449" s="71" t="s">
        <v>8</v>
      </c>
      <c r="B449" s="24"/>
      <c r="C449" s="73"/>
      <c r="D449" s="73"/>
      <c r="E449" s="73"/>
      <c r="F449" s="73"/>
      <c r="G449" s="24">
        <f t="shared" ref="G449:N449" si="420">G447/B447-1</f>
        <v>2.1634136323862925</v>
      </c>
      <c r="H449" s="73">
        <f t="shared" si="420"/>
        <v>1.4564213349225272</v>
      </c>
      <c r="I449" s="73">
        <f t="shared" si="420"/>
        <v>0.3878404737843999</v>
      </c>
      <c r="J449" s="73">
        <f t="shared" si="420"/>
        <v>0.15736553908381512</v>
      </c>
      <c r="K449" s="73">
        <f t="shared" si="420"/>
        <v>0.13040335405522629</v>
      </c>
      <c r="L449" s="24">
        <f t="shared" si="420"/>
        <v>0.4011843204552128</v>
      </c>
      <c r="M449" s="73">
        <f t="shared" si="420"/>
        <v>-0.11006823351023498</v>
      </c>
      <c r="N449" s="73">
        <f t="shared" si="420"/>
        <v>-0.8766383310190673</v>
      </c>
      <c r="O449" s="73">
        <f t="shared" ref="O449:Y449" si="421">O447/J447-1</f>
        <v>0.18267090882115378</v>
      </c>
      <c r="P449" s="73">
        <f t="shared" si="421"/>
        <v>-0.35092403120603688</v>
      </c>
      <c r="Q449" s="24">
        <f t="shared" si="421"/>
        <v>-0.28160037386641534</v>
      </c>
      <c r="R449" s="73">
        <f t="shared" si="421"/>
        <v>4.5645840077694899E-2</v>
      </c>
      <c r="S449" s="73">
        <f t="shared" si="421"/>
        <v>7.9654083733699377</v>
      </c>
      <c r="T449" s="73">
        <f t="shared" si="421"/>
        <v>-0.11677957124139282</v>
      </c>
      <c r="U449" s="73">
        <f t="shared" si="421"/>
        <v>1.6107731336666595</v>
      </c>
      <c r="V449" s="24">
        <f t="shared" si="421"/>
        <v>0.65359832659447403</v>
      </c>
      <c r="W449" s="73">
        <f t="shared" si="421"/>
        <v>-0.15911683232849927</v>
      </c>
      <c r="X449" s="73">
        <f t="shared" si="421"/>
        <v>0.14047739347449961</v>
      </c>
      <c r="Y449" s="73">
        <f t="shared" si="421"/>
        <v>-0.14793889274666994</v>
      </c>
      <c r="Z449" s="73">
        <v>-0.30676104978964125</v>
      </c>
      <c r="AA449" s="24">
        <v>-0.14284018611717786</v>
      </c>
      <c r="AB449" s="73">
        <f t="shared" ref="AB449:AI449" si="422">AB447/W447-1</f>
        <v>0.30663695378354827</v>
      </c>
      <c r="AC449" s="73">
        <f t="shared" si="422"/>
        <v>-9.2686070239501595E-2</v>
      </c>
      <c r="AD449" s="73">
        <f t="shared" si="422"/>
        <v>0.34113724763845155</v>
      </c>
      <c r="AE449" s="73">
        <f t="shared" si="422"/>
        <v>-0.18009798255029885</v>
      </c>
      <c r="AF449" s="24">
        <f t="shared" si="422"/>
        <v>5.6384001519293792E-2</v>
      </c>
      <c r="AG449" s="73">
        <f t="shared" si="422"/>
        <v>8.2620237583235667E-2</v>
      </c>
      <c r="AH449" s="73">
        <f t="shared" si="422"/>
        <v>-8.6410984848485084E-3</v>
      </c>
      <c r="AI449" s="73">
        <f t="shared" si="422"/>
        <v>4.9607778146061099E-2</v>
      </c>
      <c r="AJ449" s="73">
        <f t="shared" ref="AJ449:AS449" si="423">AJ447/AE447-1</f>
        <v>-4.3287064234041828E-2</v>
      </c>
      <c r="AK449" s="24">
        <v>2.2471910112359605E-2</v>
      </c>
      <c r="AL449" s="73">
        <v>-0.19178082191780821</v>
      </c>
      <c r="AM449" s="73">
        <v>4.4776119402984982E-2</v>
      </c>
      <c r="AN449" s="73">
        <v>-2.6315789473684181E-2</v>
      </c>
      <c r="AO449" s="73">
        <v>-0.17543859649122806</v>
      </c>
      <c r="AP449" s="24">
        <v>-8.4249084249084283E-2</v>
      </c>
      <c r="AQ449" s="73">
        <v>-3.3898305084745783E-2</v>
      </c>
      <c r="AR449" s="73">
        <v>0.10000000000000009</v>
      </c>
      <c r="AS449" s="73">
        <v>-0.16216216216216217</v>
      </c>
      <c r="AT449" s="73">
        <v>0.44680851063829796</v>
      </c>
      <c r="AU449" s="24">
        <v>5.600000000000005E-2</v>
      </c>
      <c r="AV449" s="73">
        <v>-8.7719298245614086E-2</v>
      </c>
      <c r="AW449" s="73">
        <v>-0.36363636363636365</v>
      </c>
      <c r="AX449" s="73">
        <v>-0.43548387096774188</v>
      </c>
      <c r="AY449" s="73">
        <v>-0.60294117647058831</v>
      </c>
      <c r="AZ449" s="24">
        <v>-0.38257575757575757</v>
      </c>
      <c r="BA449" s="85" t="s">
        <v>44</v>
      </c>
    </row>
    <row r="450" spans="1:55">
      <c r="A450" s="69" t="s">
        <v>224</v>
      </c>
      <c r="B450" s="37">
        <v>153</v>
      </c>
      <c r="C450" s="70"/>
      <c r="D450" s="70"/>
      <c r="E450" s="70"/>
      <c r="F450" s="70"/>
      <c r="G450" s="37">
        <v>178</v>
      </c>
      <c r="H450" s="70"/>
      <c r="I450" s="70"/>
      <c r="J450" s="70"/>
      <c r="K450" s="70"/>
      <c r="L450" s="37">
        <v>170</v>
      </c>
      <c r="M450" s="70"/>
      <c r="N450" s="70"/>
      <c r="O450" s="70"/>
      <c r="P450" s="70"/>
      <c r="Q450" s="37">
        <v>172</v>
      </c>
      <c r="R450" s="70"/>
      <c r="S450" s="70"/>
      <c r="T450" s="70"/>
      <c r="U450" s="70"/>
      <c r="V450" s="37">
        <v>146</v>
      </c>
      <c r="W450" s="70"/>
      <c r="X450" s="70"/>
      <c r="Y450" s="70"/>
      <c r="Z450" s="70"/>
      <c r="AA450" s="37">
        <v>154</v>
      </c>
      <c r="AB450" s="70"/>
      <c r="AC450" s="70"/>
      <c r="AD450" s="70"/>
      <c r="AE450" s="70"/>
      <c r="AF450" s="37">
        <v>161</v>
      </c>
      <c r="AG450" s="70"/>
      <c r="AH450" s="70"/>
      <c r="AI450" s="70"/>
      <c r="AJ450" s="70"/>
      <c r="AK450" s="37">
        <v>111</v>
      </c>
      <c r="AL450" s="70"/>
      <c r="AM450" s="70"/>
      <c r="AN450" s="70"/>
      <c r="AO450" s="70"/>
      <c r="AP450" s="37">
        <v>90</v>
      </c>
      <c r="AQ450" s="70">
        <v>19</v>
      </c>
      <c r="AR450" s="70">
        <v>12</v>
      </c>
      <c r="AS450" s="70">
        <v>26</v>
      </c>
      <c r="AT450" s="70">
        <v>1</v>
      </c>
      <c r="AU450" s="37">
        <v>58</v>
      </c>
      <c r="AV450" s="70">
        <v>27</v>
      </c>
      <c r="AW450" s="70">
        <v>32</v>
      </c>
      <c r="AX450" s="151">
        <v>-1</v>
      </c>
      <c r="AY450" s="70">
        <v>13</v>
      </c>
      <c r="AZ450" s="37">
        <v>71</v>
      </c>
      <c r="BA450" s="151">
        <v>-3</v>
      </c>
    </row>
    <row r="451" spans="1:55">
      <c r="A451" s="71" t="s">
        <v>7</v>
      </c>
      <c r="B451" s="24"/>
      <c r="C451" s="72"/>
      <c r="D451" s="72"/>
      <c r="E451" s="72"/>
      <c r="F451" s="72"/>
      <c r="G451" s="24"/>
      <c r="H451" s="72"/>
      <c r="I451" s="72"/>
      <c r="J451" s="72"/>
      <c r="K451" s="72"/>
      <c r="L451" s="24"/>
      <c r="M451" s="72" t="e">
        <f>M450/K450-1</f>
        <v>#DIV/0!</v>
      </c>
      <c r="N451" s="72" t="e">
        <f>N450/M450-1</f>
        <v>#DIV/0!</v>
      </c>
      <c r="O451" s="72" t="e">
        <f>O450/N450-1</f>
        <v>#DIV/0!</v>
      </c>
      <c r="P451" s="72" t="e">
        <f>P450/O450-1</f>
        <v>#DIV/0!</v>
      </c>
      <c r="Q451" s="24"/>
      <c r="R451" s="72" t="e">
        <f>R450/P450-1</f>
        <v>#DIV/0!</v>
      </c>
      <c r="S451" s="72" t="e">
        <f>S450/R450-1</f>
        <v>#DIV/0!</v>
      </c>
      <c r="T451" s="72" t="e">
        <f>T450/S450-1</f>
        <v>#DIV/0!</v>
      </c>
      <c r="U451" s="72" t="e">
        <f>U450/T450-1</f>
        <v>#DIV/0!</v>
      </c>
      <c r="V451" s="24"/>
      <c r="W451" s="72" t="e">
        <f>W450/U450-1</f>
        <v>#DIV/0!</v>
      </c>
      <c r="X451" s="72" t="e">
        <f>X450/W450-1</f>
        <v>#DIV/0!</v>
      </c>
      <c r="Y451" s="72" t="e">
        <f>Y450/X450-1</f>
        <v>#DIV/0!</v>
      </c>
      <c r="Z451" s="72" t="e">
        <f>Z450/Y450-1</f>
        <v>#DIV/0!</v>
      </c>
      <c r="AA451" s="24"/>
      <c r="AB451" s="72" t="e">
        <f>AB450/Z450-1</f>
        <v>#DIV/0!</v>
      </c>
      <c r="AC451" s="72" t="e">
        <f>AC450/AB450-1</f>
        <v>#DIV/0!</v>
      </c>
      <c r="AD451" s="72" t="e">
        <f>AD450/AC450-1</f>
        <v>#DIV/0!</v>
      </c>
      <c r="AE451" s="72">
        <v>0.34591591035376901</v>
      </c>
      <c r="AF451" s="24"/>
      <c r="AG451" s="72" t="e">
        <f>AG450/AE450-1</f>
        <v>#DIV/0!</v>
      </c>
      <c r="AH451" s="72" t="e">
        <f>AH450/AG450-1</f>
        <v>#DIV/0!</v>
      </c>
      <c r="AI451" s="72" t="e">
        <f>AI450/AH450-1</f>
        <v>#DIV/0!</v>
      </c>
      <c r="AJ451" s="72" t="e">
        <f>AJ450/AI450-1</f>
        <v>#DIV/0!</v>
      </c>
      <c r="AK451" s="24"/>
      <c r="AL451" s="72" t="e">
        <v>#DIV/0!</v>
      </c>
      <c r="AM451" s="72" t="e">
        <v>#DIV/0!</v>
      </c>
      <c r="AN451" s="72" t="e">
        <v>#DIV/0!</v>
      </c>
      <c r="AO451" s="72" t="e">
        <v>#DIV/0!</v>
      </c>
      <c r="AP451" s="24"/>
      <c r="AQ451" s="72"/>
      <c r="AR451" s="72">
        <v>-0.36842105263157898</v>
      </c>
      <c r="AS451" s="72">
        <v>1.1666666666666665</v>
      </c>
      <c r="AT451" s="72">
        <v>-0.96153846153846156</v>
      </c>
      <c r="AU451" s="24"/>
      <c r="AV451" s="72">
        <v>26</v>
      </c>
      <c r="AW451" s="72">
        <v>0.18518518518518512</v>
      </c>
      <c r="AX451" s="85" t="s">
        <v>44</v>
      </c>
      <c r="AY451" s="85" t="s">
        <v>44</v>
      </c>
      <c r="AZ451" s="24"/>
      <c r="BA451" s="83" t="s">
        <v>44</v>
      </c>
      <c r="BB451" s="72"/>
      <c r="BC451" s="72"/>
    </row>
    <row r="452" spans="1:55">
      <c r="A452" s="71" t="s">
        <v>8</v>
      </c>
      <c r="B452" s="24"/>
      <c r="C452" s="73"/>
      <c r="D452" s="73"/>
      <c r="E452" s="73"/>
      <c r="F452" s="73"/>
      <c r="G452" s="24">
        <f t="shared" ref="G452" si="424">G450/B450-1</f>
        <v>0.1633986928104576</v>
      </c>
      <c r="H452" s="73"/>
      <c r="I452" s="73"/>
      <c r="J452" s="73"/>
      <c r="K452" s="73"/>
      <c r="L452" s="24">
        <f t="shared" ref="L452:Q452" si="425">L450/G450-1</f>
        <v>-4.49438202247191E-2</v>
      </c>
      <c r="M452" s="73" t="e">
        <f t="shared" si="425"/>
        <v>#DIV/0!</v>
      </c>
      <c r="N452" s="73" t="e">
        <f t="shared" si="425"/>
        <v>#DIV/0!</v>
      </c>
      <c r="O452" s="73" t="e">
        <f t="shared" si="425"/>
        <v>#DIV/0!</v>
      </c>
      <c r="P452" s="73" t="e">
        <f t="shared" si="425"/>
        <v>#DIV/0!</v>
      </c>
      <c r="Q452" s="24">
        <f t="shared" si="425"/>
        <v>1.1764705882352899E-2</v>
      </c>
      <c r="R452" s="73" t="e">
        <f t="shared" ref="R452" si="426">R450/M450-1</f>
        <v>#DIV/0!</v>
      </c>
      <c r="S452" s="73" t="e">
        <f t="shared" ref="S452" si="427">S450/N450-1</f>
        <v>#DIV/0!</v>
      </c>
      <c r="T452" s="73" t="e">
        <f t="shared" ref="T452" si="428">T450/O450-1</f>
        <v>#DIV/0!</v>
      </c>
      <c r="U452" s="73" t="e">
        <f t="shared" ref="U452" si="429">U450/P450-1</f>
        <v>#DIV/0!</v>
      </c>
      <c r="V452" s="24">
        <f t="shared" ref="V452" si="430">V450/Q450-1</f>
        <v>-0.15116279069767447</v>
      </c>
      <c r="W452" s="73" t="e">
        <f t="shared" ref="W452" si="431">W450/R450-1</f>
        <v>#DIV/0!</v>
      </c>
      <c r="X452" s="73" t="e">
        <f t="shared" ref="X452" si="432">X450/S450-1</f>
        <v>#DIV/0!</v>
      </c>
      <c r="Y452" s="73" t="e">
        <f t="shared" ref="Y452" si="433">Y450/T450-1</f>
        <v>#DIV/0!</v>
      </c>
      <c r="Z452" s="73" t="e">
        <f t="shared" ref="Z452" si="434">Z450/U450-1</f>
        <v>#DIV/0!</v>
      </c>
      <c r="AA452" s="24">
        <f t="shared" ref="AA452" si="435">AA450/V450-1</f>
        <v>5.4794520547945202E-2</v>
      </c>
      <c r="AB452" s="73" t="e">
        <f t="shared" ref="AB452" si="436">AB450/W450-1</f>
        <v>#DIV/0!</v>
      </c>
      <c r="AC452" s="73" t="e">
        <f t="shared" ref="AC452" si="437">AC450/X450-1</f>
        <v>#DIV/0!</v>
      </c>
      <c r="AD452" s="73" t="e">
        <f t="shared" ref="AD452" si="438">AD450/Y450-1</f>
        <v>#DIV/0!</v>
      </c>
      <c r="AE452" s="73">
        <v>-0.30676104978964125</v>
      </c>
      <c r="AF452" s="24">
        <f t="shared" ref="AF452" si="439">AF450/AA450-1</f>
        <v>4.5454545454545414E-2</v>
      </c>
      <c r="AG452" s="73" t="e">
        <f t="shared" ref="AG452" si="440">AG450/AB450-1</f>
        <v>#DIV/0!</v>
      </c>
      <c r="AH452" s="73" t="e">
        <f t="shared" ref="AH452" si="441">AH450/AC450-1</f>
        <v>#DIV/0!</v>
      </c>
      <c r="AI452" s="73" t="e">
        <f t="shared" ref="AI452" si="442">AI450/AD450-1</f>
        <v>#DIV/0!</v>
      </c>
      <c r="AJ452" s="73" t="e">
        <f t="shared" ref="AJ452" si="443">AJ450/AE450-1</f>
        <v>#DIV/0!</v>
      </c>
      <c r="AK452" s="24">
        <v>-0.31055900621118016</v>
      </c>
      <c r="AL452" s="73" t="e">
        <v>#DIV/0!</v>
      </c>
      <c r="AM452" s="73" t="e">
        <v>#DIV/0!</v>
      </c>
      <c r="AN452" s="73" t="e">
        <v>#DIV/0!</v>
      </c>
      <c r="AO452" s="73" t="e">
        <v>#DIV/0!</v>
      </c>
      <c r="AP452" s="24">
        <v>-0.18918918918918914</v>
      </c>
      <c r="AQ452" s="73"/>
      <c r="AR452" s="73"/>
      <c r="AS452" s="73"/>
      <c r="AT452" s="73"/>
      <c r="AU452" s="24">
        <v>-0.35555555555555551</v>
      </c>
      <c r="AV452" s="73">
        <v>0.42105263157894735</v>
      </c>
      <c r="AW452" s="73">
        <v>1.6666666666666665</v>
      </c>
      <c r="AX452" s="85" t="s">
        <v>44</v>
      </c>
      <c r="AY452" s="73">
        <v>12</v>
      </c>
      <c r="AZ452" s="24">
        <v>0.22413793103448265</v>
      </c>
      <c r="BA452" s="83" t="s">
        <v>44</v>
      </c>
      <c r="BB452" s="73"/>
      <c r="BC452" s="73"/>
    </row>
    <row r="453" spans="1:55" hidden="1">
      <c r="A453" s="192" t="s">
        <v>175</v>
      </c>
      <c r="B453" s="178">
        <f>55.999-166.523+13.392</f>
        <v>-97.132000000000005</v>
      </c>
      <c r="C453" s="80" t="s">
        <v>53</v>
      </c>
      <c r="D453" s="80" t="s">
        <v>53</v>
      </c>
      <c r="E453" s="80" t="s">
        <v>53</v>
      </c>
      <c r="F453" s="80" t="s">
        <v>53</v>
      </c>
      <c r="G453" s="178">
        <f>177.148-229.65+51.805</f>
        <v>-0.69700000000000983</v>
      </c>
      <c r="H453" s="80" t="s">
        <v>53</v>
      </c>
      <c r="I453" s="80" t="s">
        <v>53</v>
      </c>
      <c r="J453" s="80" t="s">
        <v>53</v>
      </c>
      <c r="K453" s="80" t="s">
        <v>53</v>
      </c>
      <c r="L453" s="37">
        <f>248.217-177.9+8.347</f>
        <v>78.664000000000001</v>
      </c>
      <c r="M453" s="80" t="s">
        <v>53</v>
      </c>
      <c r="N453" s="80" t="s">
        <v>53</v>
      </c>
      <c r="O453" s="80" t="s">
        <v>53</v>
      </c>
      <c r="P453" s="80" t="s">
        <v>53</v>
      </c>
      <c r="Q453" s="37">
        <f>178.319-181.584+9.313</f>
        <v>6.0479999999999858</v>
      </c>
      <c r="R453" s="80" t="s">
        <v>53</v>
      </c>
      <c r="S453" s="80" t="s">
        <v>53</v>
      </c>
      <c r="T453" s="80" t="s">
        <v>53</v>
      </c>
      <c r="U453" s="80" t="s">
        <v>53</v>
      </c>
      <c r="V453" s="37">
        <f>294.868-168.991+23.163</f>
        <v>149.04</v>
      </c>
      <c r="W453" s="80" t="s">
        <v>53</v>
      </c>
      <c r="X453" s="80" t="s">
        <v>53</v>
      </c>
      <c r="Y453" s="80" t="s">
        <v>53</v>
      </c>
      <c r="Z453" s="80" t="s">
        <v>53</v>
      </c>
      <c r="AA453" s="37">
        <f>252.749-155.431+1.859</f>
        <v>99.176999999999978</v>
      </c>
      <c r="AB453" s="80" t="s">
        <v>53</v>
      </c>
      <c r="AC453" s="80" t="s">
        <v>53</v>
      </c>
      <c r="AD453" s="80" t="s">
        <v>53</v>
      </c>
      <c r="AE453" s="80" t="s">
        <v>53</v>
      </c>
      <c r="AF453" s="37">
        <f>267-168+7</f>
        <v>106</v>
      </c>
      <c r="AG453" s="70">
        <v>55</v>
      </c>
      <c r="AH453" s="70">
        <f>67-50+6</f>
        <v>23</v>
      </c>
      <c r="AI453" s="70">
        <f>76-42+16</f>
        <v>50</v>
      </c>
      <c r="AJ453" s="70">
        <v>34</v>
      </c>
      <c r="AK453" s="37">
        <v>162</v>
      </c>
      <c r="AL453" s="70">
        <v>60</v>
      </c>
      <c r="AM453" s="70">
        <v>15</v>
      </c>
      <c r="AN453" s="70">
        <v>80</v>
      </c>
      <c r="AO453" s="70">
        <v>5</v>
      </c>
      <c r="AP453" s="37">
        <v>160</v>
      </c>
      <c r="AQ453" s="70">
        <v>38</v>
      </c>
      <c r="AR453" s="70">
        <v>65</v>
      </c>
      <c r="AS453" s="147">
        <v>36</v>
      </c>
      <c r="AT453" s="70">
        <v>67</v>
      </c>
      <c r="AU453" s="37">
        <v>206</v>
      </c>
      <c r="AV453" s="70">
        <v>25</v>
      </c>
      <c r="AW453" s="70">
        <v>16</v>
      </c>
      <c r="AX453" s="70">
        <v>36</v>
      </c>
      <c r="AY453" s="70">
        <v>15</v>
      </c>
      <c r="AZ453" s="37">
        <v>92</v>
      </c>
      <c r="BA453" s="70">
        <v>2</v>
      </c>
    </row>
    <row r="454" spans="1:55" hidden="1">
      <c r="A454" s="71" t="s">
        <v>7</v>
      </c>
      <c r="B454" s="24"/>
      <c r="C454" s="73"/>
      <c r="D454" s="73"/>
      <c r="E454" s="73"/>
      <c r="F454" s="73"/>
      <c r="G454" s="24"/>
      <c r="H454" s="73"/>
      <c r="I454" s="73"/>
      <c r="J454" s="73"/>
      <c r="K454" s="73"/>
      <c r="L454" s="24"/>
      <c r="M454" s="73"/>
      <c r="N454" s="73"/>
      <c r="O454" s="73"/>
      <c r="P454" s="73"/>
      <c r="Q454" s="24"/>
      <c r="R454" s="73"/>
      <c r="S454" s="73"/>
      <c r="T454" s="73"/>
      <c r="U454" s="73"/>
      <c r="V454" s="24"/>
      <c r="W454" s="73"/>
      <c r="X454" s="73"/>
      <c r="Y454" s="73"/>
      <c r="Z454" s="73"/>
      <c r="AA454" s="24"/>
      <c r="AB454" s="73"/>
      <c r="AC454" s="73"/>
      <c r="AD454" s="73"/>
      <c r="AE454" s="73"/>
      <c r="AF454" s="24"/>
      <c r="AG454" s="72"/>
      <c r="AH454" s="72">
        <f>AH453/AG453-1</f>
        <v>-0.58181818181818179</v>
      </c>
      <c r="AI454" s="72">
        <f>AI453/AH453-1</f>
        <v>1.1739130434782608</v>
      </c>
      <c r="AJ454" s="72">
        <f>AJ453/AI453-1</f>
        <v>-0.31999999999999995</v>
      </c>
      <c r="AK454" s="24"/>
      <c r="AL454" s="72">
        <v>0.76470588235294112</v>
      </c>
      <c r="AM454" s="72">
        <v>-0.75</v>
      </c>
      <c r="AN454" s="72">
        <v>4.333333333333333</v>
      </c>
      <c r="AO454" s="72">
        <v>-0.9375</v>
      </c>
      <c r="AP454" s="24"/>
      <c r="AQ454" s="72">
        <v>6.6</v>
      </c>
      <c r="AR454" s="72">
        <v>0.71052631578947367</v>
      </c>
      <c r="AS454" s="72">
        <v>-0.44615384615384612</v>
      </c>
      <c r="AT454" s="72">
        <v>0.86111111111111116</v>
      </c>
      <c r="AU454" s="24"/>
      <c r="AV454" s="72">
        <v>-0.62686567164179108</v>
      </c>
      <c r="AW454" s="72">
        <v>-0.36</v>
      </c>
      <c r="AX454" s="72">
        <v>1.25</v>
      </c>
      <c r="AY454" s="72">
        <v>-0.58333333333333326</v>
      </c>
      <c r="AZ454" s="24"/>
      <c r="BA454" s="72">
        <v>-0.8666666666666667</v>
      </c>
    </row>
    <row r="455" spans="1:55" hidden="1">
      <c r="A455" s="71" t="s">
        <v>8</v>
      </c>
      <c r="B455" s="24"/>
      <c r="C455" s="73"/>
      <c r="D455" s="73"/>
      <c r="E455" s="73"/>
      <c r="F455" s="73"/>
      <c r="G455" s="24">
        <f t="shared" ref="G455" si="444">G453/B453-1</f>
        <v>-0.99282419799859978</v>
      </c>
      <c r="H455" s="73"/>
      <c r="I455" s="73"/>
      <c r="J455" s="73"/>
      <c r="K455" s="73"/>
      <c r="L455" s="92" t="s">
        <v>44</v>
      </c>
      <c r="M455" s="73"/>
      <c r="N455" s="73"/>
      <c r="O455" s="73"/>
      <c r="P455" s="73"/>
      <c r="Q455" s="24">
        <f t="shared" ref="Q455" si="445">Q453/L453-1</f>
        <v>-0.92311603783179108</v>
      </c>
      <c r="R455" s="73"/>
      <c r="S455" s="73"/>
      <c r="T455" s="73"/>
      <c r="U455" s="73"/>
      <c r="V455" s="24">
        <f t="shared" ref="V455" si="446">V453/Q453-1</f>
        <v>23.642857142857199</v>
      </c>
      <c r="W455" s="73"/>
      <c r="X455" s="73"/>
      <c r="Y455" s="73"/>
      <c r="Z455" s="73"/>
      <c r="AA455" s="24">
        <f t="shared" ref="AA455" si="447">AA453/V453-1</f>
        <v>-0.33456119162640918</v>
      </c>
      <c r="AB455" s="73"/>
      <c r="AC455" s="73"/>
      <c r="AD455" s="73"/>
      <c r="AE455" s="73"/>
      <c r="AF455" s="24">
        <f t="shared" ref="AF455" si="448">AF453/AA453-1</f>
        <v>6.8796192665638412E-2</v>
      </c>
      <c r="AG455" s="73"/>
      <c r="AH455" s="73"/>
      <c r="AI455" s="73"/>
      <c r="AJ455" s="73"/>
      <c r="AK455" s="24">
        <v>0.52830188679245293</v>
      </c>
      <c r="AL455" s="73">
        <v>9.0909090909090828E-2</v>
      </c>
      <c r="AM455" s="73">
        <v>-0.34782608695652173</v>
      </c>
      <c r="AN455" s="73">
        <v>0.60000000000000009</v>
      </c>
      <c r="AO455" s="73">
        <v>-0.8529411764705882</v>
      </c>
      <c r="AP455" s="24"/>
      <c r="AQ455" s="73">
        <v>-0.3666666666666667</v>
      </c>
      <c r="AR455" s="73">
        <v>3.333333333333333</v>
      </c>
      <c r="AS455" s="73">
        <v>-0.55000000000000004</v>
      </c>
      <c r="AT455" s="73">
        <v>12.4</v>
      </c>
      <c r="AU455" s="24">
        <v>0.28750000000000009</v>
      </c>
      <c r="AV455" s="73">
        <v>-0.34210526315789469</v>
      </c>
      <c r="AW455" s="73">
        <v>-0.75384615384615383</v>
      </c>
      <c r="AX455" s="73">
        <v>0</v>
      </c>
      <c r="AY455" s="73">
        <v>-0.77611940298507465</v>
      </c>
      <c r="AZ455" s="24">
        <v>-0.55339805825242716</v>
      </c>
      <c r="BA455" s="73">
        <v>-0.92</v>
      </c>
    </row>
    <row r="456" spans="1:55" s="36" customFormat="1">
      <c r="A456" s="69" t="s">
        <v>176</v>
      </c>
      <c r="B456" s="178">
        <v>-117.61</v>
      </c>
      <c r="C456" s="186">
        <v>-65.766999999999996</v>
      </c>
      <c r="D456" s="186">
        <v>-99.322000000000003</v>
      </c>
      <c r="E456" s="186">
        <v>-82.126999999999995</v>
      </c>
      <c r="F456" s="186">
        <f>G456-E456-D456-C456</f>
        <v>-17.490000000000009</v>
      </c>
      <c r="G456" s="178">
        <v>-264.70600000000002</v>
      </c>
      <c r="H456" s="186">
        <v>-1.153</v>
      </c>
      <c r="I456" s="186">
        <v>-95.153999999999996</v>
      </c>
      <c r="J456" s="186">
        <v>-88.456999999999994</v>
      </c>
      <c r="K456" s="186">
        <f>L456-J456-I456-H456</f>
        <v>-37.690000000000019</v>
      </c>
      <c r="L456" s="178">
        <v>-222.45400000000001</v>
      </c>
      <c r="M456" s="186">
        <v>-8.2669999999999995</v>
      </c>
      <c r="N456" s="186">
        <v>-142.78399999999999</v>
      </c>
      <c r="O456" s="186">
        <v>-78.350999999999999</v>
      </c>
      <c r="P456" s="186">
        <f>Q456-O456-N456-M456</f>
        <v>-84.237000000000023</v>
      </c>
      <c r="Q456" s="178">
        <v>-313.63900000000001</v>
      </c>
      <c r="R456" s="186">
        <v>-73.378</v>
      </c>
      <c r="S456" s="186">
        <v>-88.364000000000004</v>
      </c>
      <c r="T456" s="186">
        <v>-75.885000000000005</v>
      </c>
      <c r="U456" s="186">
        <f>V456-T456-S456-R456</f>
        <v>8.0100000000000335</v>
      </c>
      <c r="V456" s="178">
        <v>-229.61699999999999</v>
      </c>
      <c r="W456" s="186">
        <v>-63.862000000000002</v>
      </c>
      <c r="X456" s="186">
        <v>-106.64400000000001</v>
      </c>
      <c r="Y456" s="186">
        <v>-118.672</v>
      </c>
      <c r="Z456" s="186">
        <f>AA456-Y456-X456-W456</f>
        <v>-21.139000000000003</v>
      </c>
      <c r="AA456" s="178">
        <v>-310.31700000000001</v>
      </c>
      <c r="AB456" s="186">
        <v>-60.701000000000001</v>
      </c>
      <c r="AC456" s="186">
        <v>-100.938</v>
      </c>
      <c r="AD456" s="186">
        <v>-136.084</v>
      </c>
      <c r="AE456" s="186">
        <f>AF456-AD456-AC456-AB456</f>
        <v>-82.971000000000032</v>
      </c>
      <c r="AF456" s="178">
        <v>-380.69400000000002</v>
      </c>
      <c r="AG456" s="186">
        <v>-34</v>
      </c>
      <c r="AH456" s="186">
        <v>-115</v>
      </c>
      <c r="AI456" s="186">
        <v>-86</v>
      </c>
      <c r="AJ456" s="186">
        <f>AK456-AI456-AH456-AG456</f>
        <v>-87</v>
      </c>
      <c r="AK456" s="178">
        <v>-322</v>
      </c>
      <c r="AL456" s="186">
        <v>-3</v>
      </c>
      <c r="AM456" s="186">
        <v>-166</v>
      </c>
      <c r="AN456" s="186">
        <v>-75</v>
      </c>
      <c r="AO456" s="186">
        <v>-110</v>
      </c>
      <c r="AP456" s="178">
        <v>-354</v>
      </c>
      <c r="AQ456" s="186">
        <v>-71</v>
      </c>
      <c r="AR456" s="186">
        <v>-114</v>
      </c>
      <c r="AS456" s="186">
        <v>-142</v>
      </c>
      <c r="AT456" s="186">
        <v>395</v>
      </c>
      <c r="AU456" s="178">
        <v>68</v>
      </c>
      <c r="AV456" s="186">
        <v>19</v>
      </c>
      <c r="AW456" s="186">
        <v>-151</v>
      </c>
      <c r="AX456" s="186">
        <v>-123</v>
      </c>
      <c r="AY456" s="186">
        <v>11</v>
      </c>
      <c r="AZ456" s="178">
        <v>-244</v>
      </c>
      <c r="BA456" s="186">
        <v>1</v>
      </c>
    </row>
    <row r="457" spans="1:55">
      <c r="A457" s="71" t="s">
        <v>7</v>
      </c>
      <c r="B457" s="178"/>
      <c r="C457" s="72"/>
      <c r="D457" s="72">
        <f>D456/C456-1</f>
        <v>0.51021028783432443</v>
      </c>
      <c r="E457" s="72">
        <f>E456/D456-1</f>
        <v>-0.17312377922313293</v>
      </c>
      <c r="F457" s="72">
        <f>F456/E456-1</f>
        <v>-0.78703714978021833</v>
      </c>
      <c r="G457" s="24"/>
      <c r="H457" s="72">
        <f>H456/F456-1</f>
        <v>-0.93407661520869067</v>
      </c>
      <c r="I457" s="72">
        <f>I456/H456-1</f>
        <v>81.527320034692096</v>
      </c>
      <c r="J457" s="72">
        <f>J456/I456-1</f>
        <v>-7.0380646110515643E-2</v>
      </c>
      <c r="K457" s="72">
        <f>K456/J456-1</f>
        <v>-0.57391727053822739</v>
      </c>
      <c r="L457" s="24"/>
      <c r="M457" s="72">
        <f>M456/K456-1</f>
        <v>-0.78065799946935543</v>
      </c>
      <c r="N457" s="72">
        <f>N456/M456-1</f>
        <v>16.271561630579413</v>
      </c>
      <c r="O457" s="72">
        <f>O456/N456-1</f>
        <v>-0.45126204616763776</v>
      </c>
      <c r="P457" s="72">
        <f>P456/O456-1</f>
        <v>7.5123482788988394E-2</v>
      </c>
      <c r="Q457" s="24"/>
      <c r="R457" s="72">
        <f>R456/P456-1</f>
        <v>-0.12891009888766247</v>
      </c>
      <c r="S457" s="72">
        <f>S456/R456-1</f>
        <v>0.20423015072637574</v>
      </c>
      <c r="T457" s="72">
        <f>T456/S456-1</f>
        <v>-0.14122266986555609</v>
      </c>
      <c r="U457" s="85" t="s">
        <v>44</v>
      </c>
      <c r="V457" s="24"/>
      <c r="W457" s="85" t="s">
        <v>44</v>
      </c>
      <c r="X457" s="72">
        <f>X456/W456-1</f>
        <v>0.66991325044627481</v>
      </c>
      <c r="Y457" s="72">
        <f>Y456/X456-1</f>
        <v>0.11278646712426377</v>
      </c>
      <c r="Z457" s="72">
        <v>-0.821870365376837</v>
      </c>
      <c r="AA457" s="24"/>
      <c r="AB457" s="72">
        <f>AB456/Z456-1</f>
        <v>1.8715171010927665</v>
      </c>
      <c r="AC457" s="72">
        <f>AC456/AB456-1</f>
        <v>0.66287211083837172</v>
      </c>
      <c r="AD457" s="72">
        <f>AD456/AC456-1</f>
        <v>0.34819394083496791</v>
      </c>
      <c r="AE457" s="72">
        <f>AE456/AD456-1</f>
        <v>-0.39029569971488176</v>
      </c>
      <c r="AF457" s="24"/>
      <c r="AG457" s="72">
        <f>AG456/AE456-1</f>
        <v>-0.59021826903375896</v>
      </c>
      <c r="AH457" s="72">
        <f>AH456/AG456-1</f>
        <v>2.3823529411764706</v>
      </c>
      <c r="AI457" s="72">
        <f>AI456/AH456-1</f>
        <v>-0.25217391304347825</v>
      </c>
      <c r="AJ457" s="72">
        <f>AJ456/AI456-1</f>
        <v>1.1627906976744207E-2</v>
      </c>
      <c r="AK457" s="24"/>
      <c r="AL457" s="72">
        <v>-0.96551724137931039</v>
      </c>
      <c r="AM457" s="72">
        <v>54.333333333333336</v>
      </c>
      <c r="AN457" s="72">
        <v>-0.54819277108433728</v>
      </c>
      <c r="AO457" s="72">
        <v>0.46666666666666656</v>
      </c>
      <c r="AP457" s="24"/>
      <c r="AQ457" s="72">
        <v>-0.3545454545454545</v>
      </c>
      <c r="AR457" s="72">
        <v>0.60563380281690149</v>
      </c>
      <c r="AS457" s="72">
        <v>0.2456140350877194</v>
      </c>
      <c r="AT457" s="85" t="s">
        <v>44</v>
      </c>
      <c r="AU457" s="24"/>
      <c r="AV457" s="72">
        <v>-0.95189873417721516</v>
      </c>
      <c r="AW457" s="85" t="s">
        <v>44</v>
      </c>
      <c r="AX457" s="72">
        <v>-0.18543046357615889</v>
      </c>
      <c r="AY457" s="72">
        <v>-1.089430894308943</v>
      </c>
      <c r="AZ457" s="24"/>
      <c r="BA457" s="72">
        <v>-0.90909090909090906</v>
      </c>
    </row>
    <row r="458" spans="1:55">
      <c r="A458" s="71" t="s">
        <v>8</v>
      </c>
      <c r="B458" s="24"/>
      <c r="C458" s="73"/>
      <c r="D458" s="73"/>
      <c r="E458" s="73"/>
      <c r="F458" s="73"/>
      <c r="G458" s="24">
        <f t="shared" ref="G458:N458" si="449">G456/B456-1</f>
        <v>1.2507099736416971</v>
      </c>
      <c r="H458" s="73">
        <f t="shared" si="449"/>
        <v>-0.98246841120926909</v>
      </c>
      <c r="I458" s="73">
        <f t="shared" si="449"/>
        <v>-4.1964519441815562E-2</v>
      </c>
      <c r="J458" s="73">
        <f t="shared" si="449"/>
        <v>7.7075748535804234E-2</v>
      </c>
      <c r="K458" s="73">
        <f t="shared" si="449"/>
        <v>1.1549456832475702</v>
      </c>
      <c r="L458" s="24">
        <f t="shared" si="449"/>
        <v>-0.15961859572506865</v>
      </c>
      <c r="M458" s="73">
        <f t="shared" si="449"/>
        <v>6.169991326973113</v>
      </c>
      <c r="N458" s="73">
        <f t="shared" si="449"/>
        <v>0.50055699182378044</v>
      </c>
      <c r="O458" s="73">
        <f t="shared" ref="O458:Y458" si="450">O456/J456-1</f>
        <v>-0.11424760052907057</v>
      </c>
      <c r="P458" s="73">
        <f t="shared" si="450"/>
        <v>1.2349960201644992</v>
      </c>
      <c r="Q458" s="24">
        <f t="shared" si="450"/>
        <v>0.40990496911721075</v>
      </c>
      <c r="R458" s="73">
        <f t="shared" si="450"/>
        <v>7.8760130639893564</v>
      </c>
      <c r="S458" s="73">
        <f t="shared" si="450"/>
        <v>-0.38113514119229042</v>
      </c>
      <c r="T458" s="73">
        <f t="shared" si="450"/>
        <v>-3.147375272810804E-2</v>
      </c>
      <c r="U458" s="85" t="s">
        <v>44</v>
      </c>
      <c r="V458" s="24">
        <f t="shared" si="450"/>
        <v>-0.26789398002161724</v>
      </c>
      <c r="W458" s="73">
        <f t="shared" si="450"/>
        <v>-0.12968464662432877</v>
      </c>
      <c r="X458" s="73">
        <f t="shared" si="450"/>
        <v>0.2068715766601783</v>
      </c>
      <c r="Y458" s="73">
        <f t="shared" si="450"/>
        <v>0.56384002108453557</v>
      </c>
      <c r="Z458" s="85" t="s">
        <v>44</v>
      </c>
      <c r="AA458" s="24">
        <v>0.35145481388573163</v>
      </c>
      <c r="AB458" s="73">
        <f t="shared" ref="AB458:AI458" si="451">AB456/W456-1</f>
        <v>-4.9497353668848443E-2</v>
      </c>
      <c r="AC458" s="73">
        <f t="shared" si="451"/>
        <v>-5.3505119837965576E-2</v>
      </c>
      <c r="AD458" s="73">
        <f t="shared" si="451"/>
        <v>0.14672374275313471</v>
      </c>
      <c r="AE458" s="73">
        <f t="shared" si="451"/>
        <v>2.92502010501916</v>
      </c>
      <c r="AF458" s="24">
        <f t="shared" si="451"/>
        <v>0.22679066889664434</v>
      </c>
      <c r="AG458" s="73">
        <f t="shared" si="451"/>
        <v>-0.43987743200276763</v>
      </c>
      <c r="AH458" s="164">
        <f t="shared" si="451"/>
        <v>0.13931324179199112</v>
      </c>
      <c r="AI458" s="73">
        <f t="shared" si="451"/>
        <v>-0.36803738867170277</v>
      </c>
      <c r="AJ458" s="73">
        <f t="shared" ref="AJ458:AS458" si="452">AJ456/AE456-1</f>
        <v>4.8559135119499164E-2</v>
      </c>
      <c r="AK458" s="24">
        <v>-0.15417632008910043</v>
      </c>
      <c r="AL458" s="73">
        <v>-0.91176470588235292</v>
      </c>
      <c r="AM458" s="73">
        <v>0.44347826086956532</v>
      </c>
      <c r="AN458" s="73">
        <v>-0.12790697674418605</v>
      </c>
      <c r="AO458" s="73">
        <v>0.26436781609195403</v>
      </c>
      <c r="AP458" s="24">
        <v>9.9378881987577605E-2</v>
      </c>
      <c r="AQ458" s="73">
        <v>22.666666666666668</v>
      </c>
      <c r="AR458" s="73">
        <v>-0.31325301204819278</v>
      </c>
      <c r="AS458" s="73">
        <v>0.89333333333333331</v>
      </c>
      <c r="AT458" s="85" t="s">
        <v>44</v>
      </c>
      <c r="AU458" s="92" t="s">
        <v>44</v>
      </c>
      <c r="AV458" s="83" t="s">
        <v>44</v>
      </c>
      <c r="AW458" s="73">
        <v>0.32456140350877183</v>
      </c>
      <c r="AX458" s="73">
        <v>-0.13380281690140849</v>
      </c>
      <c r="AY458" s="73">
        <v>-0.97215189873417718</v>
      </c>
      <c r="AZ458" s="92" t="s">
        <v>44</v>
      </c>
      <c r="BA458" s="73">
        <v>-0.94736842105263164</v>
      </c>
    </row>
    <row r="459" spans="1:55" s="36" customFormat="1">
      <c r="A459" s="69" t="s">
        <v>273</v>
      </c>
      <c r="B459" s="37">
        <f>B444+B447</f>
        <v>329.20100000000002</v>
      </c>
      <c r="C459" s="77">
        <f>C444+C447</f>
        <v>91.557999999999993</v>
      </c>
      <c r="D459" s="77">
        <f>D444+D447</f>
        <v>103.146</v>
      </c>
      <c r="E459" s="77">
        <f>E444+E447</f>
        <v>111.151</v>
      </c>
      <c r="F459" s="70">
        <f>G459-E459-D459-C459</f>
        <v>121.173</v>
      </c>
      <c r="G459" s="37">
        <f>G444+G447</f>
        <v>427.02800000000002</v>
      </c>
      <c r="H459" s="77">
        <f>H444+H447</f>
        <v>122.495</v>
      </c>
      <c r="I459" s="77">
        <f>I444+I447</f>
        <v>114.616</v>
      </c>
      <c r="J459" s="77">
        <f>J444+J447</f>
        <v>119.589</v>
      </c>
      <c r="K459" s="70">
        <f>L459-J459-I459-H459</f>
        <v>125.72000000000003</v>
      </c>
      <c r="L459" s="37">
        <f>L444+L447</f>
        <v>482.42</v>
      </c>
      <c r="M459" s="77">
        <f>M444+M447</f>
        <v>122.44499999999999</v>
      </c>
      <c r="N459" s="77">
        <f>N444+N447</f>
        <v>75.460999999999999</v>
      </c>
      <c r="O459" s="77">
        <f>O444+O447</f>
        <v>139.52199999999999</v>
      </c>
      <c r="P459" s="70">
        <f>Q459-O459-N459-M459</f>
        <v>125.62300000000005</v>
      </c>
      <c r="Q459" s="37">
        <f>Q444+Q447</f>
        <v>463.05100000000004</v>
      </c>
      <c r="R459" s="77">
        <f>R444+R447</f>
        <v>129.96299999999999</v>
      </c>
      <c r="S459" s="77">
        <f>S444+S447</f>
        <v>136.44400000000002</v>
      </c>
      <c r="T459" s="77">
        <f>T444+T447</f>
        <v>137.43799999999999</v>
      </c>
      <c r="U459" s="70">
        <v>168</v>
      </c>
      <c r="V459" s="37">
        <f>V444+V447</f>
        <v>571.26099999999997</v>
      </c>
      <c r="W459" s="77">
        <v>118</v>
      </c>
      <c r="X459" s="77">
        <f>X444+X447</f>
        <v>128.29</v>
      </c>
      <c r="Y459" s="77">
        <f>Y444+Y447</f>
        <v>118.422</v>
      </c>
      <c r="Z459" s="70">
        <f>AA459-Y459-X459-W459</f>
        <v>136.79100000000003</v>
      </c>
      <c r="AA459" s="37">
        <f>500.999+0.504</f>
        <v>501.50300000000004</v>
      </c>
      <c r="AB459" s="77">
        <f>AB447+AB444+0.8</f>
        <v>130.18200000000002</v>
      </c>
      <c r="AC459" s="77">
        <f>AC444+AC447</f>
        <v>131.68900000000002</v>
      </c>
      <c r="AD459" s="77">
        <f>AD444+AD447</f>
        <v>138.41399999999999</v>
      </c>
      <c r="AE459" s="77">
        <v>131</v>
      </c>
      <c r="AF459" s="37">
        <f>AF444+AF447</f>
        <v>529.73500000000001</v>
      </c>
      <c r="AG459" s="77">
        <f>AG447+AG444</f>
        <v>143</v>
      </c>
      <c r="AH459" s="77">
        <f>AH444+AH447</f>
        <v>141</v>
      </c>
      <c r="AI459" s="77">
        <f>AI444+AI447</f>
        <v>151</v>
      </c>
      <c r="AJ459" s="77">
        <v>135</v>
      </c>
      <c r="AK459" s="37">
        <v>570</v>
      </c>
      <c r="AL459" s="77">
        <v>135</v>
      </c>
      <c r="AM459" s="77">
        <v>150</v>
      </c>
      <c r="AN459" s="77">
        <v>152</v>
      </c>
      <c r="AO459" s="70">
        <v>135</v>
      </c>
      <c r="AP459" s="37">
        <v>572</v>
      </c>
      <c r="AQ459" s="77">
        <v>133</v>
      </c>
      <c r="AR459" s="77">
        <v>151</v>
      </c>
      <c r="AS459" s="77">
        <v>137</v>
      </c>
      <c r="AT459" s="70">
        <v>139</v>
      </c>
      <c r="AU459" s="37">
        <v>560</v>
      </c>
      <c r="AV459" s="77">
        <v>122</v>
      </c>
      <c r="AW459" s="77">
        <v>120</v>
      </c>
      <c r="AX459" s="77">
        <v>107</v>
      </c>
      <c r="AY459" s="70">
        <v>99</v>
      </c>
      <c r="AZ459" s="37">
        <v>448</v>
      </c>
      <c r="BA459" s="77">
        <v>78</v>
      </c>
    </row>
    <row r="460" spans="1:55">
      <c r="A460" s="71" t="s">
        <v>7</v>
      </c>
      <c r="B460" s="24"/>
      <c r="C460" s="72"/>
      <c r="D460" s="72">
        <f>D459/C459-1</f>
        <v>0.12656458201358722</v>
      </c>
      <c r="E460" s="72">
        <f>E459/D459-1</f>
        <v>7.7608438524033874E-2</v>
      </c>
      <c r="F460" s="72">
        <f>F459/E459-1</f>
        <v>9.0165630538636687E-2</v>
      </c>
      <c r="G460" s="24"/>
      <c r="H460" s="72">
        <f>H459/F459-1</f>
        <v>1.0910021209345366E-2</v>
      </c>
      <c r="I460" s="72">
        <f>I459/H459-1</f>
        <v>-6.4320992693579382E-2</v>
      </c>
      <c r="J460" s="72">
        <f>J459/I459-1</f>
        <v>4.3388357646401809E-2</v>
      </c>
      <c r="K460" s="72">
        <f>K459/J459-1</f>
        <v>5.1267257021967216E-2</v>
      </c>
      <c r="L460" s="24"/>
      <c r="M460" s="72">
        <f>M459/K459-1</f>
        <v>-2.6049952274896815E-2</v>
      </c>
      <c r="N460" s="72">
        <f>N459/M459-1</f>
        <v>-0.38371513740863239</v>
      </c>
      <c r="O460" s="72">
        <f>O459/N459-1</f>
        <v>0.84892858562701257</v>
      </c>
      <c r="P460" s="72">
        <f>P459/O459-1</f>
        <v>-9.9618698126459959E-2</v>
      </c>
      <c r="Q460" s="24"/>
      <c r="R460" s="72">
        <f>R459/P459-1</f>
        <v>3.4547813696536034E-2</v>
      </c>
      <c r="S460" s="72">
        <f>S459/R459-1</f>
        <v>4.9868039365050132E-2</v>
      </c>
      <c r="T460" s="72">
        <f>T459/S459-1</f>
        <v>7.2850400164168327E-3</v>
      </c>
      <c r="U460" s="72">
        <f>U459/T459-1</f>
        <v>0.22236935927472756</v>
      </c>
      <c r="V460" s="24"/>
      <c r="W460" s="72">
        <f>W459/U459-1</f>
        <v>-0.29761904761904767</v>
      </c>
      <c r="X460" s="72">
        <f>X459/W459-1</f>
        <v>8.720338983050846E-2</v>
      </c>
      <c r="Y460" s="72">
        <f>Y459/X459-1</f>
        <v>-7.6919479304700222E-2</v>
      </c>
      <c r="Z460" s="72">
        <v>0.150858793129655</v>
      </c>
      <c r="AA460" s="24"/>
      <c r="AB460" s="72">
        <f>AB459/Z459-1</f>
        <v>-4.8314582099699632E-2</v>
      </c>
      <c r="AC460" s="72">
        <f>AC459/AB459-1</f>
        <v>1.1576101150696738E-2</v>
      </c>
      <c r="AD460" s="72">
        <f>AD459/AC459-1</f>
        <v>5.1067287320884613E-2</v>
      </c>
      <c r="AE460" s="72">
        <f>AE459/AD459-1</f>
        <v>-5.3563945843628447E-2</v>
      </c>
      <c r="AF460" s="24"/>
      <c r="AG460" s="72">
        <f>AG459/AE459-1</f>
        <v>9.1603053435114434E-2</v>
      </c>
      <c r="AH460" s="72">
        <f>AH459/AG459-1</f>
        <v>-1.3986013986013957E-2</v>
      </c>
      <c r="AI460" s="72">
        <f>AI459/AH459-1</f>
        <v>7.0921985815602939E-2</v>
      </c>
      <c r="AJ460" s="72">
        <f>AJ459/AI459-1</f>
        <v>-0.10596026490066224</v>
      </c>
      <c r="AK460" s="24"/>
      <c r="AL460" s="72">
        <v>0</v>
      </c>
      <c r="AM460" s="72">
        <v>0.11111111111111116</v>
      </c>
      <c r="AN460" s="72">
        <v>1.3333333333333419E-2</v>
      </c>
      <c r="AO460" s="72">
        <v>-0.11184210526315785</v>
      </c>
      <c r="AP460" s="24"/>
      <c r="AQ460" s="72">
        <v>-1.4814814814814836E-2</v>
      </c>
      <c r="AR460" s="72">
        <v>0.13533834586466176</v>
      </c>
      <c r="AS460" s="72">
        <v>-9.27152317880795E-2</v>
      </c>
      <c r="AT460" s="72">
        <v>1.4598540145985384E-2</v>
      </c>
      <c r="AU460" s="24"/>
      <c r="AV460" s="72">
        <v>-0.12230215827338131</v>
      </c>
      <c r="AW460" s="72">
        <v>-1.6393442622950838E-2</v>
      </c>
      <c r="AX460" s="72">
        <v>-0.10833333333333328</v>
      </c>
      <c r="AY460" s="72">
        <v>-7.4766355140186924E-2</v>
      </c>
      <c r="AZ460" s="24"/>
      <c r="BA460" s="72">
        <v>-0.21212121212121215</v>
      </c>
    </row>
    <row r="461" spans="1:55">
      <c r="A461" s="71" t="s">
        <v>8</v>
      </c>
      <c r="B461" s="24"/>
      <c r="C461" s="73"/>
      <c r="D461" s="73"/>
      <c r="E461" s="73"/>
      <c r="F461" s="73"/>
      <c r="G461" s="24">
        <f t="shared" ref="G461:N461" si="453">G459/B459-1</f>
        <v>0.29716495393391873</v>
      </c>
      <c r="H461" s="73">
        <f t="shared" si="453"/>
        <v>0.33789510474234929</v>
      </c>
      <c r="I461" s="73">
        <f t="shared" si="453"/>
        <v>0.11120159773524896</v>
      </c>
      <c r="J461" s="73">
        <f t="shared" si="453"/>
        <v>7.591474660596842E-2</v>
      </c>
      <c r="K461" s="73">
        <f t="shared" si="453"/>
        <v>3.7524861148936051E-2</v>
      </c>
      <c r="L461" s="24">
        <f t="shared" si="453"/>
        <v>0.12971514748447399</v>
      </c>
      <c r="M461" s="73">
        <f t="shared" si="453"/>
        <v>-4.0817992571129391E-4</v>
      </c>
      <c r="N461" s="73">
        <f t="shared" si="453"/>
        <v>-0.34161897117330919</v>
      </c>
      <c r="O461" s="73">
        <f t="shared" ref="O461:V461" si="454">O459/J459-1</f>
        <v>0.16667920962630345</v>
      </c>
      <c r="P461" s="73">
        <f t="shared" si="454"/>
        <v>-7.7155583837085207E-4</v>
      </c>
      <c r="Q461" s="24">
        <f t="shared" si="454"/>
        <v>-4.0149662120144258E-2</v>
      </c>
      <c r="R461" s="73">
        <f t="shared" si="454"/>
        <v>6.1398995467352613E-2</v>
      </c>
      <c r="S461" s="73">
        <f t="shared" si="454"/>
        <v>0.80813930374630627</v>
      </c>
      <c r="T461" s="73">
        <f t="shared" si="454"/>
        <v>-1.4936712489786563E-2</v>
      </c>
      <c r="U461" s="73">
        <f t="shared" si="454"/>
        <v>0.33733472373689488</v>
      </c>
      <c r="V461" s="24">
        <f t="shared" si="454"/>
        <v>0.23368916166901688</v>
      </c>
      <c r="W461" s="73">
        <v>-9.1999999999999998E-2</v>
      </c>
      <c r="X461" s="73">
        <f>X459/S459-1</f>
        <v>-5.97607809797428E-2</v>
      </c>
      <c r="Y461" s="73">
        <f>Y459/T459-1</f>
        <v>-0.13836056985695366</v>
      </c>
      <c r="Z461" s="73">
        <v>-0.18593802265016468</v>
      </c>
      <c r="AA461" s="24">
        <v>-0.12299456815711196</v>
      </c>
      <c r="AB461" s="73">
        <v>0.104</v>
      </c>
      <c r="AC461" s="73">
        <f>AC459/X459-1</f>
        <v>2.6494660534726266E-2</v>
      </c>
      <c r="AD461" s="73">
        <f>AD459/Y459-1</f>
        <v>0.1688199827734711</v>
      </c>
      <c r="AE461" s="73">
        <v>-4.4999999999999998E-2</v>
      </c>
      <c r="AF461" s="24">
        <f>AF459/AA459-1</f>
        <v>5.6294777897639703E-2</v>
      </c>
      <c r="AG461" s="73">
        <f>AG459/AB459-1</f>
        <v>9.8462152985819618E-2</v>
      </c>
      <c r="AH461" s="73">
        <f>AH459/AC459-1</f>
        <v>7.0704462787324562E-2</v>
      </c>
      <c r="AI461" s="73">
        <f>AI459/AD459-1</f>
        <v>9.0930108226046524E-2</v>
      </c>
      <c r="AJ461" s="73">
        <v>3.5000000000000003E-2</v>
      </c>
      <c r="AK461" s="24">
        <v>7.6009702964689785E-2</v>
      </c>
      <c r="AL461" s="73">
        <v>-5.5944055944055937E-2</v>
      </c>
      <c r="AM461" s="73">
        <v>6.3829787234042534E-2</v>
      </c>
      <c r="AN461" s="73">
        <v>6.6225165562914245E-3</v>
      </c>
      <c r="AO461" s="73">
        <v>0</v>
      </c>
      <c r="AP461" s="24">
        <v>3.5087719298245723E-3</v>
      </c>
      <c r="AQ461" s="73">
        <v>-1.4814814814814836E-2</v>
      </c>
      <c r="AR461" s="73">
        <v>6.6666666666665986E-3</v>
      </c>
      <c r="AS461" s="73">
        <v>-9.8684210526315819E-2</v>
      </c>
      <c r="AT461" s="73">
        <v>2.9629629629629672E-2</v>
      </c>
      <c r="AU461" s="24">
        <v>-2.0979020979020935E-2</v>
      </c>
      <c r="AV461" s="73">
        <v>-8.2706766917293284E-2</v>
      </c>
      <c r="AW461" s="73">
        <v>-0.20529801324503316</v>
      </c>
      <c r="AX461" s="73">
        <v>-0.21897810218978098</v>
      </c>
      <c r="AY461" s="73">
        <v>-0.28776978417266186</v>
      </c>
      <c r="AZ461" s="24">
        <v>-0.19999999999999996</v>
      </c>
      <c r="BA461" s="73">
        <v>-0.36065573770491799</v>
      </c>
    </row>
    <row r="462" spans="1:55">
      <c r="A462" s="69" t="s">
        <v>275</v>
      </c>
      <c r="B462" s="22"/>
      <c r="C462" s="73"/>
      <c r="D462" s="73"/>
      <c r="E462" s="73"/>
      <c r="F462" s="73"/>
      <c r="G462" s="22"/>
      <c r="H462" s="73"/>
      <c r="I462" s="73"/>
      <c r="J462" s="73"/>
      <c r="K462" s="73"/>
      <c r="L462" s="22"/>
      <c r="M462" s="73"/>
      <c r="N462" s="73"/>
      <c r="O462" s="73"/>
      <c r="P462" s="73"/>
      <c r="Q462" s="22"/>
      <c r="R462" s="73"/>
      <c r="S462" s="73"/>
      <c r="T462" s="73"/>
      <c r="U462" s="73"/>
      <c r="V462" s="22"/>
      <c r="W462" s="73"/>
      <c r="X462" s="73"/>
      <c r="Y462" s="73"/>
      <c r="Z462" s="73"/>
      <c r="AA462" s="22"/>
      <c r="AB462" s="73"/>
      <c r="AC462" s="73"/>
      <c r="AD462" s="73"/>
      <c r="AE462" s="73"/>
      <c r="AF462" s="22"/>
      <c r="AG462" s="73"/>
      <c r="AH462" s="73"/>
      <c r="AI462" s="73"/>
      <c r="AJ462" s="73"/>
      <c r="AK462" s="22"/>
      <c r="AL462" s="73"/>
      <c r="AM462" s="73"/>
      <c r="AN462" s="73"/>
      <c r="AO462" s="73"/>
      <c r="AP462" s="22"/>
      <c r="AQ462" s="73"/>
      <c r="AR462" s="73"/>
      <c r="AS462" s="73"/>
      <c r="AT462" s="73"/>
      <c r="AU462" s="22"/>
      <c r="AV462" s="73"/>
      <c r="AW462" s="73"/>
      <c r="AX462" s="73"/>
      <c r="AY462" s="73"/>
      <c r="AZ462" s="22"/>
      <c r="BA462" s="77">
        <v>70</v>
      </c>
    </row>
    <row r="463" spans="1:55">
      <c r="A463" s="69"/>
      <c r="B463" s="22"/>
      <c r="C463" s="73"/>
      <c r="D463" s="73"/>
      <c r="E463" s="73"/>
      <c r="F463" s="73"/>
      <c r="G463" s="22"/>
      <c r="H463" s="73"/>
      <c r="I463" s="73"/>
      <c r="J463" s="73"/>
      <c r="K463" s="73"/>
      <c r="L463" s="22"/>
      <c r="M463" s="73"/>
      <c r="N463" s="73"/>
      <c r="O463" s="73"/>
      <c r="P463" s="73"/>
      <c r="Q463" s="22"/>
      <c r="R463" s="73"/>
      <c r="S463" s="73"/>
      <c r="T463" s="73"/>
      <c r="U463" s="73"/>
      <c r="V463" s="22"/>
      <c r="W463" s="73"/>
      <c r="X463" s="73"/>
      <c r="Y463" s="73"/>
      <c r="Z463" s="73"/>
      <c r="AA463" s="22"/>
      <c r="AB463" s="73"/>
      <c r="AC463" s="73"/>
      <c r="AD463" s="73"/>
      <c r="AE463" s="73"/>
      <c r="AF463" s="22"/>
      <c r="AG463" s="73"/>
      <c r="AH463" s="73"/>
      <c r="AI463" s="73"/>
      <c r="AJ463" s="73"/>
      <c r="AK463" s="22"/>
      <c r="AL463" s="73"/>
      <c r="AM463" s="73"/>
      <c r="AN463" s="73"/>
      <c r="AO463" s="73"/>
      <c r="AP463" s="22"/>
      <c r="AQ463" s="73"/>
      <c r="AR463" s="73"/>
      <c r="AS463" s="73"/>
      <c r="AT463" s="73"/>
      <c r="AU463" s="22"/>
      <c r="AV463" s="73"/>
      <c r="AW463" s="73"/>
      <c r="AX463" s="73"/>
      <c r="AY463" s="73"/>
      <c r="AZ463" s="22"/>
      <c r="BA463" s="73"/>
    </row>
    <row r="464" spans="1:55">
      <c r="A464" s="40" t="s">
        <v>26</v>
      </c>
      <c r="B464" s="41"/>
      <c r="C464" s="53"/>
      <c r="D464" s="53"/>
      <c r="E464" s="53"/>
      <c r="F464" s="53"/>
      <c r="G464" s="41"/>
      <c r="H464" s="53"/>
      <c r="I464" s="53"/>
      <c r="J464" s="53"/>
      <c r="K464" s="53"/>
      <c r="L464" s="41"/>
      <c r="M464" s="53"/>
      <c r="N464" s="53"/>
      <c r="O464" s="53"/>
      <c r="P464" s="53"/>
      <c r="Q464" s="41"/>
      <c r="R464" s="53"/>
      <c r="S464" s="53"/>
      <c r="T464" s="53"/>
      <c r="U464" s="53"/>
      <c r="V464" s="41"/>
      <c r="W464" s="53"/>
      <c r="X464" s="53"/>
      <c r="Y464" s="53"/>
      <c r="Z464" s="53"/>
      <c r="AA464" s="41"/>
      <c r="AB464" s="53"/>
      <c r="AC464" s="53"/>
      <c r="AD464" s="53"/>
      <c r="AE464" s="53"/>
      <c r="AF464" s="41"/>
      <c r="AG464" s="53"/>
      <c r="AH464" s="53"/>
      <c r="AI464" s="53"/>
      <c r="AJ464" s="53"/>
      <c r="AK464" s="41"/>
      <c r="AL464" s="53"/>
      <c r="AM464" s="53"/>
      <c r="AN464" s="53"/>
      <c r="AO464" s="53"/>
      <c r="AP464" s="41"/>
      <c r="AQ464" s="53"/>
      <c r="AR464" s="53"/>
      <c r="AS464" s="53"/>
      <c r="AT464" s="53"/>
      <c r="AU464" s="41"/>
      <c r="AV464" s="53"/>
      <c r="AW464" s="53"/>
      <c r="AX464" s="53"/>
      <c r="AY464" s="53"/>
      <c r="AZ464" s="41"/>
      <c r="BA464" s="53"/>
    </row>
    <row r="465" spans="1:53" s="36" customFormat="1">
      <c r="A465" s="69" t="s">
        <v>12</v>
      </c>
      <c r="B465" s="37">
        <v>249.875</v>
      </c>
      <c r="C465" s="70">
        <v>84.1</v>
      </c>
      <c r="D465" s="70">
        <v>32.369999999999997</v>
      </c>
      <c r="E465" s="70">
        <v>97.233000000000004</v>
      </c>
      <c r="F465" s="70">
        <f>G465-E465-D465-C465</f>
        <v>133.32399999999998</v>
      </c>
      <c r="G465" s="37">
        <v>347.02699999999999</v>
      </c>
      <c r="H465" s="70">
        <v>90.685000000000002</v>
      </c>
      <c r="I465" s="70">
        <v>93.376000000000005</v>
      </c>
      <c r="J465" s="70">
        <v>135.02799999999999</v>
      </c>
      <c r="K465" s="70">
        <f>L465-J465-I465-H465</f>
        <v>90.639000000000038</v>
      </c>
      <c r="L465" s="37">
        <v>409.72800000000001</v>
      </c>
      <c r="M465" s="70">
        <v>124.29600000000001</v>
      </c>
      <c r="N465" s="70">
        <v>109.545</v>
      </c>
      <c r="O465" s="70">
        <v>126.117</v>
      </c>
      <c r="P465" s="70">
        <f>Q465-O465-N465-M465</f>
        <v>131.55599999999998</v>
      </c>
      <c r="Q465" s="37">
        <v>491.51400000000001</v>
      </c>
      <c r="R465" s="70">
        <v>141.339</v>
      </c>
      <c r="S465" s="70">
        <v>118.801</v>
      </c>
      <c r="T465" s="70">
        <v>134.20099999999999</v>
      </c>
      <c r="U465" s="70">
        <f>V465-T465-S465-R465</f>
        <v>118.80799999999999</v>
      </c>
      <c r="V465" s="37">
        <v>513.149</v>
      </c>
      <c r="W465" s="70">
        <v>115.95099999999999</v>
      </c>
      <c r="X465" s="70">
        <v>100.084</v>
      </c>
      <c r="Y465" s="70">
        <v>82.509</v>
      </c>
      <c r="Z465" s="70">
        <f>AA465-Y465-X465-W465</f>
        <v>119.50300000000001</v>
      </c>
      <c r="AA465" s="37">
        <v>418.04700000000003</v>
      </c>
      <c r="AB465" s="70">
        <v>121.581</v>
      </c>
      <c r="AC465" s="70">
        <v>110.20099999999999</v>
      </c>
      <c r="AD465" s="70">
        <v>125.82599999999999</v>
      </c>
      <c r="AE465" s="70">
        <v>134</v>
      </c>
      <c r="AF465" s="37">
        <v>490</v>
      </c>
      <c r="AG465" s="70">
        <v>113</v>
      </c>
      <c r="AH465" s="70">
        <v>106</v>
      </c>
      <c r="AI465" s="70">
        <v>101</v>
      </c>
      <c r="AJ465" s="70">
        <f>AK465-AI465-AH465-AG465</f>
        <v>122</v>
      </c>
      <c r="AK465" s="37">
        <v>442</v>
      </c>
      <c r="AL465" s="70">
        <v>149</v>
      </c>
      <c r="AM465" s="70">
        <v>106</v>
      </c>
      <c r="AN465" s="70">
        <v>145</v>
      </c>
      <c r="AO465" s="70">
        <v>105</v>
      </c>
      <c r="AP465" s="37">
        <v>505</v>
      </c>
      <c r="AQ465" s="70">
        <v>158</v>
      </c>
      <c r="AR465" s="70">
        <v>110</v>
      </c>
      <c r="AS465" s="70">
        <v>154</v>
      </c>
      <c r="AT465" s="70">
        <v>207</v>
      </c>
      <c r="AU465" s="37">
        <v>629</v>
      </c>
      <c r="AV465" s="70">
        <v>51</v>
      </c>
      <c r="AW465" s="70">
        <v>169</v>
      </c>
      <c r="AX465" s="70">
        <v>115</v>
      </c>
      <c r="AY465" s="70">
        <v>95</v>
      </c>
      <c r="AZ465" s="37">
        <v>430</v>
      </c>
      <c r="BA465" s="70">
        <v>86</v>
      </c>
    </row>
    <row r="466" spans="1:53">
      <c r="A466" s="82" t="s">
        <v>7</v>
      </c>
      <c r="B466" s="24"/>
      <c r="C466" s="72"/>
      <c r="D466" s="72">
        <f>D465/C465-1</f>
        <v>-0.61510107015457782</v>
      </c>
      <c r="E466" s="72">
        <f>E465/D465-1</f>
        <v>2.0037998146431883</v>
      </c>
      <c r="F466" s="72">
        <f>F465/E465-1</f>
        <v>0.37118056626865337</v>
      </c>
      <c r="G466" s="24"/>
      <c r="H466" s="72">
        <f>H465/F465-1</f>
        <v>-0.31981488704209282</v>
      </c>
      <c r="I466" s="72">
        <f>I465/H465-1</f>
        <v>2.9674146771792476E-2</v>
      </c>
      <c r="J466" s="72">
        <f>J465/I465-1</f>
        <v>0.44606751199451655</v>
      </c>
      <c r="K466" s="72">
        <f>K465/J465-1</f>
        <v>-0.32873922445714931</v>
      </c>
      <c r="L466" s="24"/>
      <c r="M466" s="72">
        <f>M465/K465-1</f>
        <v>0.37133022208982847</v>
      </c>
      <c r="N466" s="72">
        <f>N465/M465-1</f>
        <v>-0.1186763854025874</v>
      </c>
      <c r="O466" s="72">
        <f>O465/N465-1</f>
        <v>0.15128029576886215</v>
      </c>
      <c r="P466" s="72">
        <f>P465/O465-1</f>
        <v>4.3126620519041703E-2</v>
      </c>
      <c r="Q466" s="24"/>
      <c r="R466" s="72">
        <f>R465/P465-1</f>
        <v>7.4363769041321026E-2</v>
      </c>
      <c r="S466" s="72">
        <f>S465/R465-1</f>
        <v>-0.15946058766511717</v>
      </c>
      <c r="T466" s="72">
        <f>T465/S465-1</f>
        <v>0.12962853848031575</v>
      </c>
      <c r="U466" s="72">
        <f>U465/T465-1</f>
        <v>-0.11470108270430179</v>
      </c>
      <c r="V466" s="24"/>
      <c r="W466" s="72">
        <f>W465/U465-1</f>
        <v>-2.4047202208605456E-2</v>
      </c>
      <c r="X466" s="72">
        <f>X465/W465-1</f>
        <v>-0.13684228682805655</v>
      </c>
      <c r="Y466" s="72">
        <f>Y465/X465-1</f>
        <v>-0.17560249390511973</v>
      </c>
      <c r="Z466" s="72">
        <v>0.44838744864196656</v>
      </c>
      <c r="AA466" s="24"/>
      <c r="AB466" s="72">
        <f>AB465/Z465-1</f>
        <v>1.7388684802891907E-2</v>
      </c>
      <c r="AC466" s="72">
        <f>AC465/AB465-1</f>
        <v>-9.3600151339436333E-2</v>
      </c>
      <c r="AD466" s="72">
        <f>AD465/AC465-1</f>
        <v>0.1417863721744812</v>
      </c>
      <c r="AE466" s="72">
        <f>AE465/AD465-1</f>
        <v>6.4962726304579332E-2</v>
      </c>
      <c r="AF466" s="24"/>
      <c r="AG466" s="72">
        <f>AG465/AE465-1</f>
        <v>-0.15671641791044777</v>
      </c>
      <c r="AH466" s="72">
        <f>AH465/AG465-1</f>
        <v>-6.1946902654867242E-2</v>
      </c>
      <c r="AI466" s="72">
        <f>AI465/AH465-1</f>
        <v>-4.7169811320754707E-2</v>
      </c>
      <c r="AJ466" s="72">
        <f>AJ465/AI465-1</f>
        <v>0.20792079207920788</v>
      </c>
      <c r="AK466" s="24"/>
      <c r="AL466" s="72">
        <v>0.22131147540983598</v>
      </c>
      <c r="AM466" s="72">
        <v>-0.28859060402684567</v>
      </c>
      <c r="AN466" s="72">
        <v>0.36792452830188682</v>
      </c>
      <c r="AO466" s="72">
        <v>-0.27586206896551724</v>
      </c>
      <c r="AP466" s="24"/>
      <c r="AQ466" s="72">
        <v>0.50476190476190474</v>
      </c>
      <c r="AR466" s="72">
        <v>-0.30379746835443033</v>
      </c>
      <c r="AS466" s="72">
        <v>0.39999999999999991</v>
      </c>
      <c r="AT466" s="72">
        <v>0.3441558441558441</v>
      </c>
      <c r="AU466" s="24"/>
      <c r="AV466" s="72">
        <v>-0.75362318840579712</v>
      </c>
      <c r="AW466" s="72">
        <v>2.3137254901960786</v>
      </c>
      <c r="AX466" s="72">
        <v>-0.31952662721893488</v>
      </c>
      <c r="AY466" s="72">
        <v>-0.17391304347826086</v>
      </c>
      <c r="AZ466" s="24"/>
      <c r="BA466" s="72">
        <v>-9.4736842105263119E-2</v>
      </c>
    </row>
    <row r="467" spans="1:53">
      <c r="A467" s="82" t="s">
        <v>8</v>
      </c>
      <c r="B467" s="24"/>
      <c r="C467" s="73"/>
      <c r="D467" s="73"/>
      <c r="E467" s="73"/>
      <c r="F467" s="73"/>
      <c r="G467" s="24">
        <f t="shared" ref="G467:N467" si="455">G465/B465-1</f>
        <v>0.38880240120060017</v>
      </c>
      <c r="H467" s="73">
        <f t="shared" si="455"/>
        <v>7.8299643281807496E-2</v>
      </c>
      <c r="I467" s="73">
        <f t="shared" si="455"/>
        <v>1.884646277417362</v>
      </c>
      <c r="J467" s="73">
        <f t="shared" si="455"/>
        <v>0.38870548064957355</v>
      </c>
      <c r="K467" s="73">
        <f t="shared" si="455"/>
        <v>-0.32015991119378318</v>
      </c>
      <c r="L467" s="24">
        <f t="shared" si="455"/>
        <v>0.18068046578508312</v>
      </c>
      <c r="M467" s="73">
        <f t="shared" si="455"/>
        <v>0.37063461432430955</v>
      </c>
      <c r="N467" s="73">
        <f t="shared" si="455"/>
        <v>0.17316012679917758</v>
      </c>
      <c r="O467" s="73">
        <f t="shared" ref="O467:Y467" si="456">O465/J465-1</f>
        <v>-6.5993719821074048E-2</v>
      </c>
      <c r="P467" s="73">
        <f t="shared" si="456"/>
        <v>0.4514281931618831</v>
      </c>
      <c r="Q467" s="24">
        <f t="shared" si="456"/>
        <v>0.19961047328959691</v>
      </c>
      <c r="R467" s="73">
        <f t="shared" si="456"/>
        <v>0.13711623865611111</v>
      </c>
      <c r="S467" s="73">
        <f t="shared" si="456"/>
        <v>8.4494956410607447E-2</v>
      </c>
      <c r="T467" s="73">
        <f t="shared" si="456"/>
        <v>6.4099209464227647E-2</v>
      </c>
      <c r="U467" s="73">
        <f t="shared" si="456"/>
        <v>-9.6901699656420037E-2</v>
      </c>
      <c r="V467" s="24">
        <f t="shared" si="456"/>
        <v>4.4017057499888157E-2</v>
      </c>
      <c r="W467" s="73">
        <f t="shared" si="456"/>
        <v>-0.17962487353101408</v>
      </c>
      <c r="X467" s="73">
        <f t="shared" si="456"/>
        <v>-0.15754917887896569</v>
      </c>
      <c r="Y467" s="73">
        <f t="shared" si="456"/>
        <v>-0.38518341890149843</v>
      </c>
      <c r="Z467" s="73">
        <v>5.8666083092049348E-3</v>
      </c>
      <c r="AA467" s="24">
        <v>-0.18533018674887791</v>
      </c>
      <c r="AB467" s="73">
        <f t="shared" ref="AB467:AI467" si="457">AB465/W465-1</f>
        <v>4.8554993057412288E-2</v>
      </c>
      <c r="AC467" s="73">
        <f t="shared" si="457"/>
        <v>0.10108508852563847</v>
      </c>
      <c r="AD467" s="73">
        <f t="shared" si="457"/>
        <v>0.52499727302476096</v>
      </c>
      <c r="AE467" s="73">
        <f t="shared" si="457"/>
        <v>0.12131076207291858</v>
      </c>
      <c r="AF467" s="24">
        <f t="shared" si="457"/>
        <v>0.1721170107667318</v>
      </c>
      <c r="AG467" s="73">
        <f t="shared" si="457"/>
        <v>-7.0578462095228667E-2</v>
      </c>
      <c r="AH467" s="73">
        <f t="shared" si="457"/>
        <v>-3.8121251168319659E-2</v>
      </c>
      <c r="AI467" s="73">
        <f t="shared" si="457"/>
        <v>-0.19730421375550355</v>
      </c>
      <c r="AJ467" s="73">
        <v>-8.7999999999999995E-2</v>
      </c>
      <c r="AK467" s="24">
        <v>-0.10100000000000001</v>
      </c>
      <c r="AL467" s="73">
        <v>0.31858407079646023</v>
      </c>
      <c r="AM467" s="73">
        <v>0</v>
      </c>
      <c r="AN467" s="73">
        <v>0.43564356435643559</v>
      </c>
      <c r="AO467" s="73">
        <v>-0.13934426229508201</v>
      </c>
      <c r="AP467" s="24">
        <v>0.14253393665158365</v>
      </c>
      <c r="AQ467" s="73">
        <v>6.0402684563758413E-2</v>
      </c>
      <c r="AR467" s="73">
        <v>3.7735849056603765E-2</v>
      </c>
      <c r="AS467" s="73">
        <v>6.2068965517241281E-2</v>
      </c>
      <c r="AT467" s="73">
        <v>0.97142857142857153</v>
      </c>
      <c r="AU467" s="24">
        <v>0.24554455445544554</v>
      </c>
      <c r="AV467" s="73">
        <v>-0.67721518987341778</v>
      </c>
      <c r="AW467" s="73">
        <v>0.53636363636363638</v>
      </c>
      <c r="AX467" s="73">
        <v>-0.25324675324675328</v>
      </c>
      <c r="AY467" s="73">
        <v>-0.54106280193236711</v>
      </c>
      <c r="AZ467" s="24">
        <v>-0.31637519872813991</v>
      </c>
      <c r="BA467" s="73">
        <v>0.68627450980392157</v>
      </c>
    </row>
    <row r="468" spans="1:53" hidden="1">
      <c r="A468" s="69" t="s">
        <v>50</v>
      </c>
      <c r="B468" s="37">
        <v>299</v>
      </c>
      <c r="C468" s="70">
        <v>70</v>
      </c>
      <c r="D468" s="70">
        <v>52</v>
      </c>
      <c r="E468" s="70">
        <v>77</v>
      </c>
      <c r="F468" s="70">
        <f>G468-E468-D468-C468</f>
        <v>66</v>
      </c>
      <c r="G468" s="37">
        <v>265</v>
      </c>
      <c r="H468" s="70">
        <v>20</v>
      </c>
      <c r="I468" s="70">
        <v>71</v>
      </c>
      <c r="J468" s="70">
        <v>101</v>
      </c>
      <c r="K468" s="70">
        <f>L468-J468-I468-H468</f>
        <v>78</v>
      </c>
      <c r="L468" s="37">
        <v>270</v>
      </c>
      <c r="M468" s="70">
        <v>66</v>
      </c>
      <c r="N468" s="70">
        <v>79</v>
      </c>
      <c r="O468" s="70">
        <v>82</v>
      </c>
      <c r="P468" s="70">
        <f>Q468-O468-N468-M468</f>
        <v>68.427000000000021</v>
      </c>
      <c r="Q468" s="37">
        <f>235.103+60.324</f>
        <v>295.42700000000002</v>
      </c>
      <c r="R468" s="70">
        <v>79</v>
      </c>
      <c r="S468" s="70">
        <v>75</v>
      </c>
      <c r="T468" s="70">
        <v>68</v>
      </c>
      <c r="U468" s="70">
        <f>V468-T468-S468-R468</f>
        <v>69</v>
      </c>
      <c r="V468" s="37">
        <f>79+75+68+69</f>
        <v>291</v>
      </c>
      <c r="W468" s="70">
        <v>60</v>
      </c>
      <c r="X468" s="70">
        <v>88</v>
      </c>
      <c r="Y468" s="70">
        <v>102</v>
      </c>
      <c r="Z468" s="70">
        <f>AA468-Y468-X468-W468</f>
        <v>74</v>
      </c>
      <c r="AA468" s="37">
        <v>324</v>
      </c>
      <c r="AB468" s="70">
        <v>71</v>
      </c>
      <c r="AC468" s="70">
        <v>76</v>
      </c>
      <c r="AD468" s="70">
        <v>98</v>
      </c>
      <c r="AE468" s="70">
        <f>AF468-AD468-AC468-AB468</f>
        <v>82</v>
      </c>
      <c r="AF468" s="37">
        <v>327</v>
      </c>
      <c r="AG468" s="70">
        <v>87</v>
      </c>
      <c r="AH468" s="70">
        <v>70</v>
      </c>
      <c r="AI468" s="70">
        <v>78</v>
      </c>
      <c r="AJ468" s="70">
        <f>AK468-AI468-AH468-AG468</f>
        <v>97</v>
      </c>
      <c r="AK468" s="37">
        <v>332</v>
      </c>
      <c r="AL468" s="70">
        <v>80</v>
      </c>
      <c r="AM468" s="70">
        <v>61</v>
      </c>
      <c r="AN468" s="70">
        <v>73</v>
      </c>
      <c r="AO468" s="70">
        <v>67</v>
      </c>
      <c r="AP468" s="37">
        <v>281</v>
      </c>
      <c r="AQ468" s="70">
        <v>72</v>
      </c>
      <c r="AR468" s="70">
        <v>43</v>
      </c>
      <c r="AS468" s="70">
        <v>45</v>
      </c>
      <c r="AT468" s="70"/>
      <c r="AU468" s="37"/>
      <c r="AV468" s="70">
        <v>72</v>
      </c>
      <c r="AW468" s="70">
        <v>72</v>
      </c>
      <c r="AX468" s="70">
        <v>72</v>
      </c>
      <c r="AY468" s="70"/>
      <c r="AZ468" s="37"/>
      <c r="BA468" s="70">
        <v>72</v>
      </c>
    </row>
    <row r="469" spans="1:53" hidden="1">
      <c r="A469" s="71" t="s">
        <v>7</v>
      </c>
      <c r="B469" s="24"/>
      <c r="C469" s="72"/>
      <c r="D469" s="72">
        <f>D468/C468-1</f>
        <v>-0.25714285714285712</v>
      </c>
      <c r="E469" s="72">
        <f>E468/D468-1</f>
        <v>0.48076923076923084</v>
      </c>
      <c r="F469" s="72">
        <f>F468/E468-1</f>
        <v>-0.1428571428571429</v>
      </c>
      <c r="G469" s="24"/>
      <c r="H469" s="72">
        <f>H468/F468-1</f>
        <v>-0.69696969696969702</v>
      </c>
      <c r="I469" s="72">
        <f>I468/H468-1</f>
        <v>2.5499999999999998</v>
      </c>
      <c r="J469" s="72">
        <f>J468/I468-1</f>
        <v>0.42253521126760574</v>
      </c>
      <c r="K469" s="72">
        <f>K468/J468-1</f>
        <v>-0.2277227722772277</v>
      </c>
      <c r="L469" s="24"/>
      <c r="M469" s="72">
        <f>M468/K468-1</f>
        <v>-0.15384615384615385</v>
      </c>
      <c r="N469" s="72">
        <f>N468/M468-1</f>
        <v>0.19696969696969702</v>
      </c>
      <c r="O469" s="72">
        <f>O468/N468-1</f>
        <v>3.7974683544303778E-2</v>
      </c>
      <c r="P469" s="72">
        <f>P468/O468-1</f>
        <v>-0.1655243902439022</v>
      </c>
      <c r="Q469" s="24"/>
      <c r="R469" s="72">
        <f>R468/P468-1</f>
        <v>0.15451503061656924</v>
      </c>
      <c r="S469" s="72">
        <f>S468/R468-1</f>
        <v>-5.0632911392405111E-2</v>
      </c>
      <c r="T469" s="72">
        <f>T468/S468-1</f>
        <v>-9.3333333333333379E-2</v>
      </c>
      <c r="U469" s="72">
        <f>U468/T468-1</f>
        <v>1.4705882352941124E-2</v>
      </c>
      <c r="V469" s="24"/>
      <c r="W469" s="72">
        <f>W468/U468-1</f>
        <v>-0.13043478260869568</v>
      </c>
      <c r="X469" s="72">
        <f>X468/W468-1</f>
        <v>0.46666666666666656</v>
      </c>
      <c r="Y469" s="72">
        <f>Y468/X468-1</f>
        <v>0.15909090909090917</v>
      </c>
      <c r="Z469" s="72">
        <v>-0.27450980392156865</v>
      </c>
      <c r="AA469" s="24"/>
      <c r="AB469" s="72">
        <f>AB468/Z468-1</f>
        <v>-4.0540540540540571E-2</v>
      </c>
      <c r="AC469" s="72">
        <f>AC468/AB468-1</f>
        <v>7.0422535211267512E-2</v>
      </c>
      <c r="AD469" s="72">
        <f>AD468/AC468-1</f>
        <v>0.28947368421052633</v>
      </c>
      <c r="AE469" s="72">
        <f>AE468/AD468-1</f>
        <v>-0.16326530612244894</v>
      </c>
      <c r="AF469" s="24"/>
      <c r="AG469" s="72">
        <f>AG468/AE468-1</f>
        <v>6.0975609756097615E-2</v>
      </c>
      <c r="AH469" s="72">
        <f>AH468/AG468-1</f>
        <v>-0.1954022988505747</v>
      </c>
      <c r="AI469" s="72">
        <f>AI468/AH468-1</f>
        <v>0.11428571428571432</v>
      </c>
      <c r="AJ469" s="72">
        <f>AJ468/AI468-1</f>
        <v>0.24358974358974361</v>
      </c>
      <c r="AK469" s="24"/>
      <c r="AL469" s="72">
        <v>-0.17525773195876293</v>
      </c>
      <c r="AM469" s="72">
        <v>-0.23750000000000004</v>
      </c>
      <c r="AN469" s="72">
        <v>0.19672131147540983</v>
      </c>
      <c r="AO469" s="72">
        <v>-8.2191780821917804E-2</v>
      </c>
      <c r="AP469" s="24"/>
      <c r="AQ469" s="72">
        <v>7.4626865671641784E-2</v>
      </c>
      <c r="AR469" s="72">
        <v>-0.40277777777777779</v>
      </c>
      <c r="AS469" s="72">
        <v>4.6511627906976827E-2</v>
      </c>
      <c r="AT469" s="72"/>
      <c r="AU469" s="24"/>
      <c r="AV469" s="72" t="e">
        <v>#DIV/0!</v>
      </c>
      <c r="AW469" s="72" t="e">
        <v>#DIV/0!</v>
      </c>
      <c r="AX469" s="72">
        <v>0</v>
      </c>
      <c r="AY469" s="72"/>
      <c r="AZ469" s="24"/>
      <c r="BA469" s="72" t="e">
        <v>#DIV/0!</v>
      </c>
    </row>
    <row r="470" spans="1:53" hidden="1">
      <c r="A470" s="71" t="s">
        <v>8</v>
      </c>
      <c r="B470" s="24"/>
      <c r="C470" s="73"/>
      <c r="D470" s="73"/>
      <c r="E470" s="73"/>
      <c r="F470" s="73"/>
      <c r="G470" s="24">
        <f t="shared" ref="G470:N470" si="458">G468/B468-1</f>
        <v>-0.11371237458193983</v>
      </c>
      <c r="H470" s="73">
        <f t="shared" si="458"/>
        <v>-0.7142857142857143</v>
      </c>
      <c r="I470" s="73">
        <f t="shared" si="458"/>
        <v>0.36538461538461542</v>
      </c>
      <c r="J470" s="73">
        <f t="shared" si="458"/>
        <v>0.31168831168831179</v>
      </c>
      <c r="K470" s="73">
        <f t="shared" si="458"/>
        <v>0.18181818181818188</v>
      </c>
      <c r="L470" s="24">
        <f t="shared" si="458"/>
        <v>1.8867924528301883E-2</v>
      </c>
      <c r="M470" s="73">
        <f t="shared" si="458"/>
        <v>2.2999999999999998</v>
      </c>
      <c r="N470" s="73">
        <f t="shared" si="458"/>
        <v>0.11267605633802824</v>
      </c>
      <c r="O470" s="73">
        <f t="shared" ref="O470:Y470" si="459">O468/J468-1</f>
        <v>-0.18811881188118806</v>
      </c>
      <c r="P470" s="73">
        <f t="shared" si="459"/>
        <v>-0.12273076923076898</v>
      </c>
      <c r="Q470" s="24">
        <f t="shared" si="459"/>
        <v>9.4174074074074188E-2</v>
      </c>
      <c r="R470" s="73">
        <f t="shared" si="459"/>
        <v>0.19696969696969702</v>
      </c>
      <c r="S470" s="73">
        <f t="shared" si="459"/>
        <v>-5.0632911392405111E-2</v>
      </c>
      <c r="T470" s="73">
        <f t="shared" si="459"/>
        <v>-0.17073170731707321</v>
      </c>
      <c r="U470" s="73">
        <f t="shared" si="459"/>
        <v>8.3738875005476832E-3</v>
      </c>
      <c r="V470" s="24">
        <f t="shared" si="459"/>
        <v>-1.4985089379102146E-2</v>
      </c>
      <c r="W470" s="73">
        <f t="shared" si="459"/>
        <v>-0.240506329113924</v>
      </c>
      <c r="X470" s="73">
        <f t="shared" si="459"/>
        <v>0.17333333333333334</v>
      </c>
      <c r="Y470" s="73">
        <f t="shared" si="459"/>
        <v>0.5</v>
      </c>
      <c r="Z470" s="73">
        <v>7.2463768115942129E-2</v>
      </c>
      <c r="AA470" s="24">
        <v>0.11340206185567014</v>
      </c>
      <c r="AB470" s="73">
        <f t="shared" ref="AB470:AI470" si="460">AB468/W468-1</f>
        <v>0.18333333333333335</v>
      </c>
      <c r="AC470" s="73">
        <f t="shared" si="460"/>
        <v>-0.13636363636363635</v>
      </c>
      <c r="AD470" s="73">
        <f t="shared" si="460"/>
        <v>-3.9215686274509776E-2</v>
      </c>
      <c r="AE470" s="73">
        <f t="shared" si="460"/>
        <v>0.10810810810810811</v>
      </c>
      <c r="AF470" s="24">
        <f t="shared" si="460"/>
        <v>9.2592592592593004E-3</v>
      </c>
      <c r="AG470" s="73">
        <f t="shared" si="460"/>
        <v>0.22535211267605626</v>
      </c>
      <c r="AH470" s="73">
        <f t="shared" si="460"/>
        <v>-7.8947368421052655E-2</v>
      </c>
      <c r="AI470" s="73">
        <f t="shared" si="460"/>
        <v>-0.20408163265306123</v>
      </c>
      <c r="AJ470" s="73">
        <f t="shared" ref="AJ470:AS470" si="461">AJ468/AE468-1</f>
        <v>0.18292682926829262</v>
      </c>
      <c r="AK470" s="24">
        <v>1.5290519877675823E-2</v>
      </c>
      <c r="AL470" s="73">
        <v>-8.0459770114942541E-2</v>
      </c>
      <c r="AM470" s="73">
        <v>-0.12857142857142856</v>
      </c>
      <c r="AN470" s="73">
        <v>-6.4102564102564097E-2</v>
      </c>
      <c r="AO470" s="73">
        <v>-0.30927835051546393</v>
      </c>
      <c r="AP470" s="24">
        <v>-0.15361445783132532</v>
      </c>
      <c r="AQ470" s="73">
        <v>-9.9999999999999978E-2</v>
      </c>
      <c r="AR470" s="73">
        <v>-0.29508196721311475</v>
      </c>
      <c r="AS470" s="73">
        <v>-0.38356164383561642</v>
      </c>
      <c r="AT470" s="73"/>
      <c r="AU470" s="24"/>
      <c r="AV470" s="73">
        <v>0</v>
      </c>
      <c r="AW470" s="73">
        <v>0.67441860465116288</v>
      </c>
      <c r="AX470" s="73">
        <v>0.60000000000000009</v>
      </c>
      <c r="AY470" s="73"/>
      <c r="AZ470" s="24"/>
      <c r="BA470" s="73">
        <v>0</v>
      </c>
    </row>
    <row r="471" spans="1:53">
      <c r="A471" s="69" t="s">
        <v>51</v>
      </c>
      <c r="B471" s="37">
        <f>223.607+11.995+18.948</f>
        <v>254.55</v>
      </c>
      <c r="C471" s="70">
        <v>79.400000000000006</v>
      </c>
      <c r="D471" s="70">
        <f>28.849+2.175+8.53</f>
        <v>39.554000000000002</v>
      </c>
      <c r="E471" s="70">
        <f>55.85</f>
        <v>55.85</v>
      </c>
      <c r="F471" s="70">
        <f>G471-E471-D471-C471</f>
        <v>62.736999999999995</v>
      </c>
      <c r="G471" s="37">
        <f>198.208+12.643+26.69</f>
        <v>237.541</v>
      </c>
      <c r="H471" s="70">
        <f>52.092+2.389+6.955</f>
        <v>61.436</v>
      </c>
      <c r="I471" s="70">
        <v>59.911999999999999</v>
      </c>
      <c r="J471" s="70">
        <f>72.635+5.449+9.304</f>
        <v>87.388000000000005</v>
      </c>
      <c r="K471" s="70">
        <f>L471-J471-I471-H471</f>
        <v>52.824999999999967</v>
      </c>
      <c r="L471" s="37">
        <f>214.368+9.262+37.931</f>
        <v>261.56099999999998</v>
      </c>
      <c r="M471" s="70">
        <f>48.421+3.632+8.981</f>
        <v>61.033999999999999</v>
      </c>
      <c r="N471" s="70">
        <f>50.599+4.089+8.547</f>
        <v>63.234999999999999</v>
      </c>
      <c r="O471" s="70">
        <f>52.441+2.5+9.771</f>
        <v>64.712000000000003</v>
      </c>
      <c r="P471" s="70">
        <f>Q471-O471-N471-M471</f>
        <v>89.399999999999977</v>
      </c>
      <c r="Q471" s="37">
        <f>226.728+14.897+36.756</f>
        <v>278.38099999999997</v>
      </c>
      <c r="R471" s="70">
        <f>57.453+3.813+9.85</f>
        <v>71.116</v>
      </c>
      <c r="S471" s="70">
        <f>47.551+7.177+9.667</f>
        <v>64.394999999999996</v>
      </c>
      <c r="T471" s="70">
        <f>51.634+6.428+9.274</f>
        <v>67.335999999999999</v>
      </c>
      <c r="U471" s="70">
        <v>62</v>
      </c>
      <c r="V471" s="37">
        <f>207.741+32.181+24.414</f>
        <v>264.33600000000001</v>
      </c>
      <c r="W471" s="70">
        <f>48.463+7.914</f>
        <v>56.377000000000002</v>
      </c>
      <c r="X471" s="70">
        <f>55.722+13.527</f>
        <v>69.248999999999995</v>
      </c>
      <c r="Y471" s="70">
        <f>75.056+11.515</f>
        <v>86.570999999999998</v>
      </c>
      <c r="Z471" s="70">
        <f>AA471-Y471-X471-W471</f>
        <v>72.019999999999982</v>
      </c>
      <c r="AA471" s="37">
        <f>240.686+43.531</f>
        <v>284.21699999999998</v>
      </c>
      <c r="AB471" s="70">
        <f>75.656+13.99</f>
        <v>89.646000000000001</v>
      </c>
      <c r="AC471" s="70">
        <f>68.451+16.277</f>
        <v>84.727999999999994</v>
      </c>
      <c r="AD471" s="70">
        <f>46.951+19.847</f>
        <v>66.798000000000002</v>
      </c>
      <c r="AE471" s="70">
        <f>AF471-AD471-AC471-AB471</f>
        <v>81.827999999999989</v>
      </c>
      <c r="AF471" s="37">
        <f>260+63</f>
        <v>323</v>
      </c>
      <c r="AG471" s="70">
        <v>78</v>
      </c>
      <c r="AH471" s="70">
        <v>68</v>
      </c>
      <c r="AI471" s="70">
        <v>64</v>
      </c>
      <c r="AJ471" s="70">
        <f>AK471-AI471-AH471-AG471</f>
        <v>95</v>
      </c>
      <c r="AK471" s="37">
        <v>305</v>
      </c>
      <c r="AL471" s="70">
        <v>65</v>
      </c>
      <c r="AM471" s="70">
        <v>82</v>
      </c>
      <c r="AN471" s="70">
        <v>75</v>
      </c>
      <c r="AO471" s="70">
        <v>43</v>
      </c>
      <c r="AP471" s="37">
        <v>265</v>
      </c>
      <c r="AQ471" s="70">
        <v>59</v>
      </c>
      <c r="AR471" s="70">
        <v>58</v>
      </c>
      <c r="AS471" s="70">
        <v>51</v>
      </c>
      <c r="AT471" s="70">
        <v>41</v>
      </c>
      <c r="AU471" s="37">
        <v>209</v>
      </c>
      <c r="AV471" s="70">
        <v>60</v>
      </c>
      <c r="AW471" s="70">
        <v>53</v>
      </c>
      <c r="AX471" s="70">
        <v>69</v>
      </c>
      <c r="AY471" s="70">
        <v>53</v>
      </c>
      <c r="AZ471" s="37">
        <v>235</v>
      </c>
      <c r="BA471" s="70">
        <v>62</v>
      </c>
    </row>
    <row r="472" spans="1:53">
      <c r="A472" s="71" t="s">
        <v>7</v>
      </c>
      <c r="B472" s="24"/>
      <c r="C472" s="72"/>
      <c r="D472" s="72">
        <f>D471/C471-1</f>
        <v>-0.50183879093198991</v>
      </c>
      <c r="E472" s="72">
        <f>E471/D471-1</f>
        <v>0.41199373009050921</v>
      </c>
      <c r="F472" s="72">
        <f>F471/E471-1</f>
        <v>0.12331244404655317</v>
      </c>
      <c r="G472" s="24"/>
      <c r="H472" s="72">
        <f>H471/F471-1</f>
        <v>-2.0737363916030316E-2</v>
      </c>
      <c r="I472" s="72">
        <f>I471/H471-1</f>
        <v>-2.4806302493651899E-2</v>
      </c>
      <c r="J472" s="72">
        <f>J471/I471-1</f>
        <v>0.45860595540125537</v>
      </c>
      <c r="K472" s="72">
        <f>K471/J471-1</f>
        <v>-0.39551196960681145</v>
      </c>
      <c r="L472" s="24"/>
      <c r="M472" s="72">
        <f>M471/K471-1</f>
        <v>0.15539990534784742</v>
      </c>
      <c r="N472" s="72">
        <f>N471/M471-1</f>
        <v>3.606186715601134E-2</v>
      </c>
      <c r="O472" s="72">
        <f>O471/N471-1</f>
        <v>2.3357317941013811E-2</v>
      </c>
      <c r="P472" s="72">
        <f>P471/O471-1</f>
        <v>0.3815057485474096</v>
      </c>
      <c r="Q472" s="24"/>
      <c r="R472" s="72">
        <f>R471/P471-1</f>
        <v>-0.20451901565995501</v>
      </c>
      <c r="S472" s="72">
        <f>S471/R471-1</f>
        <v>-9.4507565104899105E-2</v>
      </c>
      <c r="T472" s="72">
        <f>T471/S471-1</f>
        <v>4.5671247767683942E-2</v>
      </c>
      <c r="U472" s="72">
        <f>U471/T471-1</f>
        <v>-7.9244386360936225E-2</v>
      </c>
      <c r="V472" s="24"/>
      <c r="W472" s="72">
        <f>W471/U471-1</f>
        <v>-9.0693548387096756E-2</v>
      </c>
      <c r="X472" s="72">
        <f>X471/W471-1</f>
        <v>0.22832005959877244</v>
      </c>
      <c r="Y472" s="72">
        <f>Y471/X471-1</f>
        <v>0.25014079625698571</v>
      </c>
      <c r="Z472" s="72">
        <v>-0.16807013896108447</v>
      </c>
      <c r="AA472" s="24"/>
      <c r="AB472" s="72">
        <f>AB471/Z471-1</f>
        <v>0.24473757289641807</v>
      </c>
      <c r="AC472" s="72">
        <f>AC471/AB471-1</f>
        <v>-5.4860228007942435E-2</v>
      </c>
      <c r="AD472" s="72">
        <f>AD471/AC471-1</f>
        <v>-0.21161835520725136</v>
      </c>
      <c r="AE472" s="72">
        <f>AE471/AD471-1</f>
        <v>0.22500673672864435</v>
      </c>
      <c r="AF472" s="24"/>
      <c r="AG472" s="72">
        <f>AG471/AE471-1</f>
        <v>-4.678105294031365E-2</v>
      </c>
      <c r="AH472" s="72">
        <f>AH471/AG471-1</f>
        <v>-0.12820512820512819</v>
      </c>
      <c r="AI472" s="72">
        <f>AI471/AH471-1</f>
        <v>-5.8823529411764719E-2</v>
      </c>
      <c r="AJ472" s="72">
        <f>AJ471/AI471-1</f>
        <v>0.484375</v>
      </c>
      <c r="AK472" s="24"/>
      <c r="AL472" s="72">
        <v>-0.31578947368421051</v>
      </c>
      <c r="AM472" s="72">
        <v>0.2615384615384615</v>
      </c>
      <c r="AN472" s="72">
        <v>-8.536585365853655E-2</v>
      </c>
      <c r="AO472" s="72">
        <v>-0.42666666666666664</v>
      </c>
      <c r="AP472" s="24"/>
      <c r="AQ472" s="72">
        <v>0.37209302325581395</v>
      </c>
      <c r="AR472" s="72">
        <v>-1.6949152542372836E-2</v>
      </c>
      <c r="AS472" s="72">
        <v>-0.12068965517241381</v>
      </c>
      <c r="AT472" s="72">
        <v>-0.19607843137254899</v>
      </c>
      <c r="AU472" s="24"/>
      <c r="AV472" s="72">
        <v>0.46341463414634143</v>
      </c>
      <c r="AW472" s="72">
        <v>-0.1166666666666667</v>
      </c>
      <c r="AX472" s="72">
        <v>0.30188679245283012</v>
      </c>
      <c r="AY472" s="72">
        <v>-0.23188405797101452</v>
      </c>
      <c r="AZ472" s="24"/>
      <c r="BA472" s="72">
        <v>0.16981132075471694</v>
      </c>
    </row>
    <row r="473" spans="1:53">
      <c r="A473" s="71" t="s">
        <v>8</v>
      </c>
      <c r="B473" s="24"/>
      <c r="C473" s="73"/>
      <c r="D473" s="73"/>
      <c r="E473" s="73"/>
      <c r="F473" s="73"/>
      <c r="G473" s="24">
        <f t="shared" ref="G473:N473" si="462">G471/B471-1</f>
        <v>-6.6819878216460515E-2</v>
      </c>
      <c r="H473" s="73">
        <f t="shared" si="462"/>
        <v>-0.22624685138539047</v>
      </c>
      <c r="I473" s="73">
        <f t="shared" si="462"/>
        <v>0.51468877989583839</v>
      </c>
      <c r="J473" s="73">
        <f t="shared" si="462"/>
        <v>0.56469113697403772</v>
      </c>
      <c r="K473" s="73">
        <f t="shared" si="462"/>
        <v>-0.1579928909574897</v>
      </c>
      <c r="L473" s="24">
        <f t="shared" si="462"/>
        <v>0.10111938570604639</v>
      </c>
      <c r="M473" s="73">
        <f t="shared" si="462"/>
        <v>-6.5433947522625102E-3</v>
      </c>
      <c r="N473" s="73">
        <f t="shared" si="462"/>
        <v>5.546468153291495E-2</v>
      </c>
      <c r="O473" s="73">
        <f t="shared" ref="O473:Y473" si="463">O471/J471-1</f>
        <v>-0.25948642834256419</v>
      </c>
      <c r="P473" s="73">
        <f t="shared" si="463"/>
        <v>0.69238050165641329</v>
      </c>
      <c r="Q473" s="24">
        <f t="shared" si="463"/>
        <v>6.4306223022545295E-2</v>
      </c>
      <c r="R473" s="73">
        <f t="shared" si="463"/>
        <v>0.16518661729527806</v>
      </c>
      <c r="S473" s="73">
        <f t="shared" si="463"/>
        <v>1.834427136870409E-2</v>
      </c>
      <c r="T473" s="73">
        <f t="shared" si="463"/>
        <v>4.0548893559154253E-2</v>
      </c>
      <c r="U473" s="73">
        <f t="shared" si="463"/>
        <v>-0.30648769574944057</v>
      </c>
      <c r="V473" s="24">
        <f t="shared" si="463"/>
        <v>-5.0452437486753654E-2</v>
      </c>
      <c r="W473" s="73">
        <f t="shared" si="463"/>
        <v>-0.20725293886045326</v>
      </c>
      <c r="X473" s="73">
        <f t="shared" si="463"/>
        <v>7.5378523177265233E-2</v>
      </c>
      <c r="Y473" s="73">
        <f t="shared" si="463"/>
        <v>0.28565700368302238</v>
      </c>
      <c r="Z473" s="73">
        <v>0.17128266844476148</v>
      </c>
      <c r="AA473" s="24">
        <v>7.5211094970037973E-2</v>
      </c>
      <c r="AB473" s="73">
        <f t="shared" ref="AB473:AI473" si="464">AB471/W471-1</f>
        <v>0.59011653688560939</v>
      </c>
      <c r="AC473" s="73">
        <f t="shared" si="464"/>
        <v>0.22352669352626031</v>
      </c>
      <c r="AD473" s="73">
        <f t="shared" si="464"/>
        <v>-0.22840212080257816</v>
      </c>
      <c r="AE473" s="73">
        <f t="shared" si="464"/>
        <v>0.13618439322410447</v>
      </c>
      <c r="AF473" s="24">
        <f t="shared" si="464"/>
        <v>0.13645559554847186</v>
      </c>
      <c r="AG473" s="73">
        <f t="shared" si="464"/>
        <v>-0.12991098320058903</v>
      </c>
      <c r="AH473" s="73">
        <f t="shared" si="464"/>
        <v>-0.1974317817014446</v>
      </c>
      <c r="AI473" s="73">
        <f t="shared" si="464"/>
        <v>-4.1887481661127657E-2</v>
      </c>
      <c r="AJ473" s="73">
        <f t="shared" ref="AJ473:AS473" si="465">AJ471/AE471-1</f>
        <v>0.16097179449577181</v>
      </c>
      <c r="AK473" s="24">
        <v>-5.5727554179566541E-2</v>
      </c>
      <c r="AL473" s="73">
        <v>-0.16666666666666663</v>
      </c>
      <c r="AM473" s="73">
        <v>0.20588235294117641</v>
      </c>
      <c r="AN473" s="73">
        <v>0.171875</v>
      </c>
      <c r="AO473" s="73">
        <v>-0.5473684210526315</v>
      </c>
      <c r="AP473" s="24">
        <v>-0.13114754098360659</v>
      </c>
      <c r="AQ473" s="73">
        <v>-9.2307692307692313E-2</v>
      </c>
      <c r="AR473" s="73">
        <v>-0.29268292682926833</v>
      </c>
      <c r="AS473" s="73">
        <v>-0.31999999999999995</v>
      </c>
      <c r="AT473" s="73">
        <v>-4.6511627906976716E-2</v>
      </c>
      <c r="AU473" s="24">
        <v>-0.21132075471698109</v>
      </c>
      <c r="AV473" s="73">
        <v>1.6949152542372836E-2</v>
      </c>
      <c r="AW473" s="73">
        <v>-8.6206896551724088E-2</v>
      </c>
      <c r="AX473" s="73">
        <v>0.35294117647058831</v>
      </c>
      <c r="AY473" s="73">
        <v>0.29268292682926833</v>
      </c>
      <c r="AZ473" s="24">
        <v>0.12440191387559807</v>
      </c>
      <c r="BA473" s="73">
        <v>3.3333333333333437E-2</v>
      </c>
    </row>
    <row r="474" spans="1:53" s="36" customFormat="1">
      <c r="A474" s="69" t="s">
        <v>52</v>
      </c>
      <c r="B474" s="37">
        <f>B471</f>
        <v>254.55</v>
      </c>
      <c r="C474" s="70">
        <v>79.400000000000006</v>
      </c>
      <c r="D474" s="70">
        <f>28.849+2.175+8.53</f>
        <v>39.554000000000002</v>
      </c>
      <c r="E474" s="70">
        <f>E471</f>
        <v>55.85</v>
      </c>
      <c r="F474" s="70">
        <f>G474-E474-D474-C474</f>
        <v>62.736999999999995</v>
      </c>
      <c r="G474" s="37">
        <f>G471</f>
        <v>237.541</v>
      </c>
      <c r="H474" s="70">
        <f>H471</f>
        <v>61.436</v>
      </c>
      <c r="I474" s="70">
        <v>59.911999999999999</v>
      </c>
      <c r="J474" s="70">
        <f>J471-0.578</f>
        <v>86.81</v>
      </c>
      <c r="K474" s="70">
        <f>L474-J474-I474-H474</f>
        <v>52.453999999999958</v>
      </c>
      <c r="L474" s="37">
        <f>L471-0.949</f>
        <v>260.61199999999997</v>
      </c>
      <c r="M474" s="70">
        <f>M471-0.184</f>
        <v>60.85</v>
      </c>
      <c r="N474" s="70">
        <f>N471-0.253</f>
        <v>62.981999999999999</v>
      </c>
      <c r="O474" s="70">
        <f>O471-1.056</f>
        <v>63.656000000000006</v>
      </c>
      <c r="P474" s="70">
        <f>Q474-O474-N474-M474</f>
        <v>89.303999999999974</v>
      </c>
      <c r="Q474" s="37">
        <f>Q471-1.589</f>
        <v>276.79199999999997</v>
      </c>
      <c r="R474" s="70">
        <f>R471-0.129</f>
        <v>70.986999999999995</v>
      </c>
      <c r="S474" s="70">
        <f>S471-0.069</f>
        <v>64.325999999999993</v>
      </c>
      <c r="T474" s="70">
        <f>T471-0.156</f>
        <v>67.179999999999993</v>
      </c>
      <c r="U474" s="70">
        <v>62</v>
      </c>
      <c r="V474" s="37">
        <f>V471-0.747</f>
        <v>263.589</v>
      </c>
      <c r="W474" s="70">
        <f>W471-0.109</f>
        <v>56.268000000000001</v>
      </c>
      <c r="X474" s="70">
        <f>X471-0.063</f>
        <v>69.185999999999993</v>
      </c>
      <c r="Y474" s="70">
        <f>Y471-0.052</f>
        <v>86.518999999999991</v>
      </c>
      <c r="Z474" s="70">
        <f>AA474-Y474-X474-W474</f>
        <v>71.772999999999996</v>
      </c>
      <c r="AA474" s="37">
        <f>AA471-0.471</f>
        <v>283.74599999999998</v>
      </c>
      <c r="AB474" s="70">
        <f>AB471-0.035</f>
        <v>89.611000000000004</v>
      </c>
      <c r="AC474" s="70">
        <f>AC471-0.082</f>
        <v>84.646000000000001</v>
      </c>
      <c r="AD474" s="70">
        <f>AD471-0.212</f>
        <v>66.585999999999999</v>
      </c>
      <c r="AE474" s="70">
        <f>AF474-AD474-AC474-AB474</f>
        <v>82.156999999999968</v>
      </c>
      <c r="AF474" s="37">
        <f>AF471</f>
        <v>323</v>
      </c>
      <c r="AG474" s="70">
        <v>78</v>
      </c>
      <c r="AH474" s="70">
        <v>68</v>
      </c>
      <c r="AI474" s="70">
        <v>64</v>
      </c>
      <c r="AJ474" s="70">
        <f>AK474-AI474-AH474-AG474</f>
        <v>95</v>
      </c>
      <c r="AK474" s="37">
        <v>305</v>
      </c>
      <c r="AL474" s="70">
        <v>65</v>
      </c>
      <c r="AM474" s="70">
        <v>82</v>
      </c>
      <c r="AN474" s="70">
        <v>75</v>
      </c>
      <c r="AO474" s="70">
        <v>43</v>
      </c>
      <c r="AP474" s="37">
        <v>265</v>
      </c>
      <c r="AQ474" s="70">
        <v>59</v>
      </c>
      <c r="AR474" s="70">
        <v>58</v>
      </c>
      <c r="AS474" s="70">
        <v>50</v>
      </c>
      <c r="AT474" s="70">
        <v>41</v>
      </c>
      <c r="AU474" s="37">
        <v>208</v>
      </c>
      <c r="AV474" s="70">
        <v>60</v>
      </c>
      <c r="AW474" s="70">
        <v>52</v>
      </c>
      <c r="AX474" s="70">
        <v>69</v>
      </c>
      <c r="AY474" s="70">
        <v>53</v>
      </c>
      <c r="AZ474" s="37">
        <v>234</v>
      </c>
      <c r="BA474" s="70">
        <v>62</v>
      </c>
    </row>
    <row r="475" spans="1:53">
      <c r="A475" s="71" t="s">
        <v>7</v>
      </c>
      <c r="B475" s="24"/>
      <c r="C475" s="72"/>
      <c r="D475" s="72">
        <f>D474/C474-1</f>
        <v>-0.50183879093198991</v>
      </c>
      <c r="E475" s="72">
        <f>E474/D474-1</f>
        <v>0.41199373009050921</v>
      </c>
      <c r="F475" s="72">
        <f>F474/E474-1</f>
        <v>0.12331244404655317</v>
      </c>
      <c r="G475" s="24"/>
      <c r="H475" s="72">
        <f>H474/F474-1</f>
        <v>-2.0737363916030316E-2</v>
      </c>
      <c r="I475" s="72">
        <f>I474/H474-1</f>
        <v>-2.4806302493651899E-2</v>
      </c>
      <c r="J475" s="72">
        <f>J474/I474-1</f>
        <v>0.44895847242622522</v>
      </c>
      <c r="K475" s="72">
        <f>K474/J474-1</f>
        <v>-0.3957608570441199</v>
      </c>
      <c r="L475" s="24"/>
      <c r="M475" s="72">
        <f>M474/K474-1</f>
        <v>0.16006405612536789</v>
      </c>
      <c r="N475" s="72">
        <f>N474/M474-1</f>
        <v>3.5036976170911949E-2</v>
      </c>
      <c r="O475" s="72">
        <f>O474/N474-1</f>
        <v>1.0701470261344603E-2</v>
      </c>
      <c r="P475" s="72">
        <f>P474/O474-1</f>
        <v>0.40291567173557818</v>
      </c>
      <c r="Q475" s="24"/>
      <c r="R475" s="72">
        <f>R474/P474-1</f>
        <v>-0.20510839380094936</v>
      </c>
      <c r="S475" s="72">
        <f>S474/R474-1</f>
        <v>-9.3834082296758603E-2</v>
      </c>
      <c r="T475" s="72">
        <f>T474/S474-1</f>
        <v>4.4367751764449848E-2</v>
      </c>
      <c r="U475" s="72">
        <f>U474/T474-1</f>
        <v>-7.7106281631437845E-2</v>
      </c>
      <c r="V475" s="24"/>
      <c r="W475" s="72">
        <f>W474/U474-1</f>
        <v>-9.2451612903225788E-2</v>
      </c>
      <c r="X475" s="72">
        <f>X474/W474-1</f>
        <v>0.22957986777564487</v>
      </c>
      <c r="Y475" s="72">
        <f>Y474/X474-1</f>
        <v>0.25052756337987447</v>
      </c>
      <c r="Z475" s="72">
        <v>-0.17042499335406114</v>
      </c>
      <c r="AA475" s="24"/>
      <c r="AB475" s="72">
        <f>AB474/Z474-1</f>
        <v>0.24853357112005914</v>
      </c>
      <c r="AC475" s="72">
        <f>AC474/AB474-1</f>
        <v>-5.540614433495894E-2</v>
      </c>
      <c r="AD475" s="72">
        <f>AD474/AC474-1</f>
        <v>-0.21335916641069874</v>
      </c>
      <c r="AE475" s="72">
        <f>AE474/AD474-1</f>
        <v>0.23384795602679187</v>
      </c>
      <c r="AF475" s="24"/>
      <c r="AG475" s="72">
        <f>AG474/AE474-1</f>
        <v>-5.0598244823934269E-2</v>
      </c>
      <c r="AH475" s="72">
        <f>AH474/AG474-1</f>
        <v>-0.12820512820512819</v>
      </c>
      <c r="AI475" s="72">
        <f>AI474/AH474-1</f>
        <v>-5.8823529411764719E-2</v>
      </c>
      <c r="AJ475" s="72">
        <f>AJ474/AI474-1</f>
        <v>0.484375</v>
      </c>
      <c r="AK475" s="24"/>
      <c r="AL475" s="72">
        <v>-0.31578947368421051</v>
      </c>
      <c r="AM475" s="72">
        <v>0.2615384615384615</v>
      </c>
      <c r="AN475" s="72">
        <v>-8.536585365853655E-2</v>
      </c>
      <c r="AO475" s="72">
        <v>-0.42666666666666664</v>
      </c>
      <c r="AP475" s="24"/>
      <c r="AQ475" s="72">
        <v>0.37209302325581395</v>
      </c>
      <c r="AR475" s="72">
        <v>-1.6949152542372836E-2</v>
      </c>
      <c r="AS475" s="72">
        <v>-0.13793103448275867</v>
      </c>
      <c r="AT475" s="72">
        <v>-0.18000000000000005</v>
      </c>
      <c r="AU475" s="24"/>
      <c r="AV475" s="72">
        <v>0.46341463414634143</v>
      </c>
      <c r="AW475" s="72">
        <v>-0.1333333333333333</v>
      </c>
      <c r="AX475" s="72">
        <v>0.32692307692307687</v>
      </c>
      <c r="AY475" s="72">
        <v>-0.23188405797101452</v>
      </c>
      <c r="AZ475" s="24"/>
      <c r="BA475" s="72">
        <v>0.16981132075471694</v>
      </c>
    </row>
    <row r="476" spans="1:53">
      <c r="A476" s="71" t="s">
        <v>8</v>
      </c>
      <c r="B476" s="24"/>
      <c r="C476" s="73"/>
      <c r="D476" s="73"/>
      <c r="E476" s="73"/>
      <c r="F476" s="73"/>
      <c r="G476" s="24">
        <f t="shared" ref="G476:N476" si="466">G474/B474-1</f>
        <v>-6.6819878216460515E-2</v>
      </c>
      <c r="H476" s="73">
        <f t="shared" si="466"/>
        <v>-0.22624685138539047</v>
      </c>
      <c r="I476" s="73">
        <f t="shared" si="466"/>
        <v>0.51468877989583839</v>
      </c>
      <c r="J476" s="73">
        <f t="shared" si="466"/>
        <v>0.55434198746642793</v>
      </c>
      <c r="K476" s="73">
        <f t="shared" si="466"/>
        <v>-0.16390646667835629</v>
      </c>
      <c r="L476" s="24">
        <f t="shared" si="466"/>
        <v>9.7124285912747466E-2</v>
      </c>
      <c r="M476" s="73">
        <f t="shared" si="466"/>
        <v>-9.5383814050393756E-3</v>
      </c>
      <c r="N476" s="73">
        <f t="shared" si="466"/>
        <v>5.1241821337962401E-2</v>
      </c>
      <c r="O476" s="73">
        <f t="shared" ref="O476:Y476" si="467">O474/J474-1</f>
        <v>-0.26672042391429551</v>
      </c>
      <c r="P476" s="73">
        <f t="shared" si="467"/>
        <v>0.7025203035040235</v>
      </c>
      <c r="Q476" s="24">
        <f t="shared" si="467"/>
        <v>6.2084631559559789E-2</v>
      </c>
      <c r="R476" s="73">
        <f t="shared" si="467"/>
        <v>0.16658997534921927</v>
      </c>
      <c r="S476" s="73">
        <f t="shared" si="467"/>
        <v>2.1339430313422891E-2</v>
      </c>
      <c r="T476" s="73">
        <f t="shared" si="467"/>
        <v>5.5360060324242566E-2</v>
      </c>
      <c r="U476" s="73">
        <f t="shared" si="467"/>
        <v>-0.3057421840007164</v>
      </c>
      <c r="V476" s="24">
        <f t="shared" si="467"/>
        <v>-4.7700078036937432E-2</v>
      </c>
      <c r="W476" s="73">
        <f t="shared" si="467"/>
        <v>-0.20734782424951037</v>
      </c>
      <c r="X476" s="73">
        <f t="shared" si="467"/>
        <v>7.5552653670366565E-2</v>
      </c>
      <c r="Y476" s="73">
        <f t="shared" si="467"/>
        <v>0.28786841321821965</v>
      </c>
      <c r="Z476" s="73">
        <v>0.17477412596569275</v>
      </c>
      <c r="AA476" s="24">
        <v>7.6471324675915886E-2</v>
      </c>
      <c r="AB476" s="73">
        <f t="shared" ref="AB476:AI476" si="468">AB474/W474-1</f>
        <v>0.59257482050188393</v>
      </c>
      <c r="AC476" s="73">
        <f t="shared" si="468"/>
        <v>0.22345561240713452</v>
      </c>
      <c r="AD476" s="73">
        <f t="shared" si="468"/>
        <v>-0.23038870074781259</v>
      </c>
      <c r="AE476" s="73">
        <f t="shared" si="468"/>
        <v>0.14467836094352982</v>
      </c>
      <c r="AF476" s="24">
        <f t="shared" si="468"/>
        <v>0.13834203830186165</v>
      </c>
      <c r="AG476" s="73">
        <f t="shared" si="468"/>
        <v>-0.12957114639943756</v>
      </c>
      <c r="AH476" s="73">
        <f t="shared" si="468"/>
        <v>-0.19665430144365947</v>
      </c>
      <c r="AI476" s="73">
        <f t="shared" si="468"/>
        <v>-3.8836992761241085E-2</v>
      </c>
      <c r="AJ476" s="73">
        <f t="shared" ref="AJ476:AS476" si="469">AJ474/AE474-1</f>
        <v>0.15632265053495176</v>
      </c>
      <c r="AK476" s="24">
        <v>-5.5727554179566541E-2</v>
      </c>
      <c r="AL476" s="73">
        <v>-0.16666666666666663</v>
      </c>
      <c r="AM476" s="73">
        <v>0.20588235294117641</v>
      </c>
      <c r="AN476" s="73">
        <v>0.171875</v>
      </c>
      <c r="AO476" s="73">
        <v>-0.5473684210526315</v>
      </c>
      <c r="AP476" s="24">
        <v>-0.13114754098360659</v>
      </c>
      <c r="AQ476" s="73">
        <v>-9.2307692307692313E-2</v>
      </c>
      <c r="AR476" s="73">
        <v>-0.29268292682926833</v>
      </c>
      <c r="AS476" s="73">
        <v>-0.33333333333333337</v>
      </c>
      <c r="AT476" s="73">
        <v>-4.6511627906976716E-2</v>
      </c>
      <c r="AU476" s="24">
        <v>-0.21509433962264146</v>
      </c>
      <c r="AV476" s="73">
        <v>1.6949152542372836E-2</v>
      </c>
      <c r="AW476" s="73">
        <v>-0.10344827586206895</v>
      </c>
      <c r="AX476" s="73">
        <v>0.37999999999999989</v>
      </c>
      <c r="AY476" s="73">
        <v>0.29268292682926833</v>
      </c>
      <c r="AZ476" s="24">
        <v>0.125</v>
      </c>
      <c r="BA476" s="73">
        <v>3.3333333333333437E-2</v>
      </c>
    </row>
    <row r="477" spans="1:53">
      <c r="A477" s="69" t="s">
        <v>274</v>
      </c>
      <c r="B477" s="24"/>
      <c r="C477" s="73"/>
      <c r="D477" s="73"/>
      <c r="E477" s="73"/>
      <c r="F477" s="73"/>
      <c r="G477" s="24"/>
      <c r="H477" s="73"/>
      <c r="I477" s="73"/>
      <c r="J477" s="73"/>
      <c r="K477" s="73"/>
      <c r="L477" s="24"/>
      <c r="M477" s="73"/>
      <c r="N477" s="73"/>
      <c r="O477" s="73"/>
      <c r="P477" s="73"/>
      <c r="Q477" s="24"/>
      <c r="R477" s="73"/>
      <c r="S477" s="73"/>
      <c r="T477" s="73"/>
      <c r="U477" s="73"/>
      <c r="V477" s="24"/>
      <c r="W477" s="73"/>
      <c r="X477" s="73"/>
      <c r="Y477" s="73"/>
      <c r="Z477" s="73"/>
      <c r="AA477" s="24"/>
      <c r="AB477" s="73"/>
      <c r="AC477" s="73"/>
      <c r="AD477" s="73"/>
      <c r="AE477" s="73"/>
      <c r="AF477" s="24"/>
      <c r="AG477" s="73"/>
      <c r="AH477" s="73"/>
      <c r="AI477" s="73"/>
      <c r="AJ477" s="73"/>
      <c r="AK477" s="24"/>
      <c r="AL477" s="73"/>
      <c r="AM477" s="73"/>
      <c r="AN477" s="73"/>
      <c r="AO477" s="73"/>
      <c r="AP477" s="24"/>
      <c r="AQ477" s="73"/>
      <c r="AR477" s="73"/>
      <c r="AS477" s="73"/>
      <c r="AT477" s="73"/>
      <c r="AU477" s="24"/>
      <c r="AV477" s="73"/>
      <c r="AW477" s="73"/>
      <c r="AX477" s="73"/>
      <c r="AY477" s="73"/>
      <c r="AZ477" s="24"/>
      <c r="BA477" s="70">
        <v>8</v>
      </c>
    </row>
    <row r="478" spans="1:53" ht="5.25" customHeight="1">
      <c r="A478" s="71"/>
      <c r="B478" s="24"/>
      <c r="C478" s="73"/>
      <c r="D478" s="73"/>
      <c r="E478" s="73"/>
      <c r="F478" s="73"/>
      <c r="G478" s="24"/>
      <c r="H478" s="73"/>
      <c r="I478" s="73"/>
      <c r="J478" s="73"/>
      <c r="K478" s="73"/>
      <c r="L478" s="24"/>
      <c r="M478" s="73"/>
      <c r="N478" s="73"/>
      <c r="O478" s="73"/>
      <c r="P478" s="73"/>
      <c r="Q478" s="24"/>
      <c r="R478" s="73"/>
      <c r="S478" s="73"/>
      <c r="T478" s="73"/>
      <c r="U478" s="73"/>
      <c r="V478" s="24"/>
      <c r="W478" s="73"/>
      <c r="X478" s="73"/>
      <c r="Y478" s="73"/>
      <c r="Z478" s="73"/>
      <c r="AA478" s="24"/>
      <c r="AB478" s="73"/>
      <c r="AC478" s="73"/>
      <c r="AD478" s="73"/>
      <c r="AE478" s="73"/>
      <c r="AF478" s="24"/>
      <c r="AG478" s="73"/>
      <c r="AH478" s="73"/>
      <c r="AI478" s="73"/>
      <c r="AJ478" s="73"/>
      <c r="AK478" s="24"/>
      <c r="AL478" s="73"/>
      <c r="AM478" s="73"/>
      <c r="AN478" s="73"/>
      <c r="AO478" s="73"/>
      <c r="AP478" s="24"/>
      <c r="AQ478" s="73"/>
      <c r="AR478" s="73"/>
      <c r="AS478" s="73"/>
      <c r="AT478" s="73"/>
      <c r="AU478" s="24"/>
      <c r="AV478" s="73"/>
      <c r="AW478" s="73"/>
      <c r="AX478" s="73"/>
      <c r="AY478" s="73"/>
      <c r="AZ478" s="24"/>
      <c r="BA478" s="73"/>
    </row>
    <row r="479" spans="1:53" s="36" customFormat="1">
      <c r="A479" s="69" t="s">
        <v>13</v>
      </c>
      <c r="B479" s="178">
        <f>B465-B474</f>
        <v>-4.6750000000000114</v>
      </c>
      <c r="C479" s="186">
        <f>C465-C474</f>
        <v>4.6999999999999886</v>
      </c>
      <c r="D479" s="186">
        <f>D465-D474</f>
        <v>-7.1840000000000046</v>
      </c>
      <c r="E479" s="186">
        <f>E465-E474</f>
        <v>41.383000000000003</v>
      </c>
      <c r="F479" s="186">
        <f>G479-E479-D479-C479</f>
        <v>70.586999999999989</v>
      </c>
      <c r="G479" s="37">
        <f>G465-G474</f>
        <v>109.48599999999999</v>
      </c>
      <c r="H479" s="77">
        <f>H465-H474</f>
        <v>29.249000000000002</v>
      </c>
      <c r="I479" s="77">
        <f>I465-I474</f>
        <v>33.464000000000006</v>
      </c>
      <c r="J479" s="77">
        <f>J465-J474</f>
        <v>48.217999999999989</v>
      </c>
      <c r="K479" s="70">
        <f>L479-J479-I479-H479</f>
        <v>38.185000000000052</v>
      </c>
      <c r="L479" s="37">
        <f>L465-L474</f>
        <v>149.11600000000004</v>
      </c>
      <c r="M479" s="77">
        <f>M465-M474</f>
        <v>63.446000000000005</v>
      </c>
      <c r="N479" s="77">
        <f>N465-N474</f>
        <v>46.563000000000002</v>
      </c>
      <c r="O479" s="77">
        <f>O465-O474</f>
        <v>62.460999999999999</v>
      </c>
      <c r="P479" s="70">
        <f>Q479-O479-N479-M479</f>
        <v>42.252000000000017</v>
      </c>
      <c r="Q479" s="37">
        <f>Q465-Q474</f>
        <v>214.72200000000004</v>
      </c>
      <c r="R479" s="77">
        <f>R465-R474</f>
        <v>70.352000000000004</v>
      </c>
      <c r="S479" s="77">
        <f>S465-S474</f>
        <v>54.475000000000009</v>
      </c>
      <c r="T479" s="77">
        <f>T465-T474</f>
        <v>67.021000000000001</v>
      </c>
      <c r="U479" s="70">
        <v>57</v>
      </c>
      <c r="V479" s="37">
        <f>V465-V474</f>
        <v>249.56</v>
      </c>
      <c r="W479" s="186">
        <f>W465-W474</f>
        <v>59.682999999999993</v>
      </c>
      <c r="X479" s="186">
        <f>X465-X474</f>
        <v>30.89800000000001</v>
      </c>
      <c r="Y479" s="186">
        <f>Y465-Y474</f>
        <v>-4.0099999999999909</v>
      </c>
      <c r="Z479" s="186">
        <f>AA479-Y479-X479-W479</f>
        <v>47.730000000000032</v>
      </c>
      <c r="AA479" s="37">
        <v>134.30100000000004</v>
      </c>
      <c r="AB479" s="77">
        <f>AB465-AB474</f>
        <v>31.97</v>
      </c>
      <c r="AC479" s="77">
        <f>AC465-AC474</f>
        <v>25.554999999999993</v>
      </c>
      <c r="AD479" s="77">
        <f>AD465-AD474</f>
        <v>59.239999999999995</v>
      </c>
      <c r="AE479" s="70">
        <f>AF479-AD479-AC479-AB479</f>
        <v>50.235000000000014</v>
      </c>
      <c r="AF479" s="37">
        <v>167</v>
      </c>
      <c r="AG479" s="77">
        <f>AG465-AG474</f>
        <v>35</v>
      </c>
      <c r="AH479" s="77">
        <f>AH465-AH474</f>
        <v>38</v>
      </c>
      <c r="AI479" s="77">
        <f>AI465-AI474</f>
        <v>37</v>
      </c>
      <c r="AJ479" s="70">
        <f>AK479-AI479-AH479-AG479</f>
        <v>27</v>
      </c>
      <c r="AK479" s="37">
        <v>137</v>
      </c>
      <c r="AL479" s="77">
        <v>84</v>
      </c>
      <c r="AM479" s="77">
        <v>24</v>
      </c>
      <c r="AN479" s="77">
        <v>70</v>
      </c>
      <c r="AO479" s="70">
        <v>62</v>
      </c>
      <c r="AP479" s="37">
        <v>240</v>
      </c>
      <c r="AQ479" s="77">
        <v>99</v>
      </c>
      <c r="AR479" s="77">
        <v>52</v>
      </c>
      <c r="AS479" s="77">
        <v>104</v>
      </c>
      <c r="AT479" s="70">
        <v>166</v>
      </c>
      <c r="AU479" s="37">
        <v>421</v>
      </c>
      <c r="AV479" s="186">
        <v>-9</v>
      </c>
      <c r="AW479" s="77">
        <v>117</v>
      </c>
      <c r="AX479" s="77">
        <v>46</v>
      </c>
      <c r="AY479" s="70">
        <v>42</v>
      </c>
      <c r="AZ479" s="37">
        <v>196</v>
      </c>
      <c r="BA479" s="186">
        <v>16</v>
      </c>
    </row>
    <row r="480" spans="1:53">
      <c r="A480" s="71" t="s">
        <v>7</v>
      </c>
      <c r="B480" s="24"/>
      <c r="C480" s="72"/>
      <c r="D480" s="85" t="s">
        <v>49</v>
      </c>
      <c r="E480" s="85" t="s">
        <v>49</v>
      </c>
      <c r="F480" s="72">
        <f>F479/E479-1</f>
        <v>0.7057004083802525</v>
      </c>
      <c r="G480" s="24"/>
      <c r="H480" s="72">
        <f>H479/F479-1</f>
        <v>-0.58563191522518299</v>
      </c>
      <c r="I480" s="72">
        <f>I479/H479-1</f>
        <v>0.14410749085438823</v>
      </c>
      <c r="J480" s="72">
        <f>J479/I479-1</f>
        <v>0.44089170451828785</v>
      </c>
      <c r="K480" s="72">
        <f>K479/J479-1</f>
        <v>-0.20807582230702104</v>
      </c>
      <c r="L480" s="24"/>
      <c r="M480" s="72">
        <f>M479/K479-1</f>
        <v>0.6615424905067413</v>
      </c>
      <c r="N480" s="72">
        <f>N479/M479-1</f>
        <v>-0.26610030577183752</v>
      </c>
      <c r="O480" s="72">
        <f>O479/N479-1</f>
        <v>0.34142989068573759</v>
      </c>
      <c r="P480" s="72">
        <f>P479/O479-1</f>
        <v>-0.32354589263700517</v>
      </c>
      <c r="Q480" s="24"/>
      <c r="R480" s="72">
        <f>R479/P479-1</f>
        <v>0.66505727539524706</v>
      </c>
      <c r="S480" s="72">
        <f>S479/R479-1</f>
        <v>-0.22567944052763245</v>
      </c>
      <c r="T480" s="72">
        <f>T479/S479-1</f>
        <v>0.23030748049563998</v>
      </c>
      <c r="U480" s="72">
        <f>U479/T479-1</f>
        <v>-0.14952029960758573</v>
      </c>
      <c r="V480" s="24"/>
      <c r="W480" s="72">
        <f>W479/U479-1</f>
        <v>4.7070175438596262E-2</v>
      </c>
      <c r="X480" s="72">
        <f>X479/W479-1</f>
        <v>-0.48229814184943764</v>
      </c>
      <c r="Y480" s="85" t="s">
        <v>44</v>
      </c>
      <c r="Z480" s="85" t="s">
        <v>44</v>
      </c>
      <c r="AA480" s="24"/>
      <c r="AB480" s="72">
        <f>AB479/Z479-1</f>
        <v>-0.33019065577205164</v>
      </c>
      <c r="AC480" s="72">
        <f>AC479/AB479-1</f>
        <v>-0.20065686581169861</v>
      </c>
      <c r="AD480" s="72">
        <f>AD479/AC479-1</f>
        <v>1.3181373508119747</v>
      </c>
      <c r="AE480" s="72">
        <f>AE479/AD479-1</f>
        <v>-0.15200877785280187</v>
      </c>
      <c r="AF480" s="24"/>
      <c r="AG480" s="72">
        <f>AG479/AE479-1</f>
        <v>-0.30327460933612038</v>
      </c>
      <c r="AH480" s="72">
        <f>AH479/AG479-1</f>
        <v>8.5714285714285632E-2</v>
      </c>
      <c r="AI480" s="72">
        <f>AI479/AH479-1</f>
        <v>-2.6315789473684181E-2</v>
      </c>
      <c r="AJ480" s="72">
        <f>AJ479/AI479-1</f>
        <v>-0.27027027027027029</v>
      </c>
      <c r="AK480" s="24"/>
      <c r="AL480" s="72">
        <v>2.1111111111111112</v>
      </c>
      <c r="AM480" s="72">
        <v>-0.7142857142857143</v>
      </c>
      <c r="AN480" s="72">
        <v>1.9166666666666665</v>
      </c>
      <c r="AO480" s="72">
        <v>-0.11428571428571432</v>
      </c>
      <c r="AP480" s="24"/>
      <c r="AQ480" s="72">
        <v>0.59677419354838701</v>
      </c>
      <c r="AR480" s="72">
        <v>-0.4747474747474747</v>
      </c>
      <c r="AS480" s="72">
        <v>1</v>
      </c>
      <c r="AT480" s="72">
        <v>0.59615384615384626</v>
      </c>
      <c r="AU480" s="24"/>
      <c r="AV480" s="85" t="s">
        <v>44</v>
      </c>
      <c r="AW480" s="85" t="s">
        <v>44</v>
      </c>
      <c r="AX480" s="72">
        <v>-0.6068376068376069</v>
      </c>
      <c r="AY480" s="72">
        <v>-8.6956521739130488E-2</v>
      </c>
      <c r="AZ480" s="24"/>
      <c r="BA480" s="72">
        <v>-0.61904761904761907</v>
      </c>
    </row>
    <row r="481" spans="1:53">
      <c r="A481" s="71" t="s">
        <v>8</v>
      </c>
      <c r="B481" s="24"/>
      <c r="C481" s="73"/>
      <c r="D481" s="73"/>
      <c r="E481" s="73"/>
      <c r="F481" s="73"/>
      <c r="G481" s="92" t="s">
        <v>49</v>
      </c>
      <c r="H481" s="73">
        <f>H479/C479-1</f>
        <v>5.2231914893617173</v>
      </c>
      <c r="I481" s="85" t="s">
        <v>49</v>
      </c>
      <c r="J481" s="73">
        <f t="shared" ref="J481:R481" si="470">J479/E479-1</f>
        <v>0.16516443950414383</v>
      </c>
      <c r="K481" s="73">
        <f t="shared" si="470"/>
        <v>-0.45903636646974577</v>
      </c>
      <c r="L481" s="24">
        <f t="shared" si="470"/>
        <v>0.36196408673255087</v>
      </c>
      <c r="M481" s="73">
        <f t="shared" si="470"/>
        <v>1.1691681766898014</v>
      </c>
      <c r="N481" s="73">
        <f t="shared" si="470"/>
        <v>0.39143557255558203</v>
      </c>
      <c r="O481" s="73">
        <f t="shared" si="470"/>
        <v>0.29538761458376572</v>
      </c>
      <c r="P481" s="73">
        <f t="shared" si="470"/>
        <v>0.10650779101741414</v>
      </c>
      <c r="Q481" s="24">
        <f t="shared" si="470"/>
        <v>0.43996620081010751</v>
      </c>
      <c r="R481" s="73">
        <f t="shared" si="470"/>
        <v>0.1088484695646692</v>
      </c>
      <c r="S481" s="73">
        <f t="shared" ref="S481:X481" si="471">S479/N479-1</f>
        <v>0.16992032300324311</v>
      </c>
      <c r="T481" s="73">
        <f t="shared" si="471"/>
        <v>7.3005555466611138E-2</v>
      </c>
      <c r="U481" s="73">
        <f t="shared" si="471"/>
        <v>0.3490485657483664</v>
      </c>
      <c r="V481" s="24">
        <f t="shared" si="471"/>
        <v>0.16224699844450008</v>
      </c>
      <c r="W481" s="73">
        <f t="shared" si="471"/>
        <v>-0.15165169433704817</v>
      </c>
      <c r="X481" s="73">
        <f t="shared" si="471"/>
        <v>-0.43280403854979344</v>
      </c>
      <c r="Y481" s="85" t="s">
        <v>44</v>
      </c>
      <c r="Z481" s="73">
        <v>-0.17294496811754778</v>
      </c>
      <c r="AA481" s="24">
        <v>-0.4618488539830099</v>
      </c>
      <c r="AB481" s="73">
        <f>AB479/W479-1</f>
        <v>-0.46433657825511443</v>
      </c>
      <c r="AC481" s="73">
        <f>AC479/X479-1</f>
        <v>-0.17292381383908395</v>
      </c>
      <c r="AD481" s="85" t="s">
        <v>44</v>
      </c>
      <c r="AE481" s="73">
        <f>AE479/Z479-1</f>
        <v>5.2482715273412417E-2</v>
      </c>
      <c r="AF481" s="24">
        <f>AF479/AA479-1</f>
        <v>0.24347547672764858</v>
      </c>
      <c r="AG481" s="73">
        <f>AG479/AB479-1</f>
        <v>9.4776352830778787E-2</v>
      </c>
      <c r="AH481" s="73">
        <f>AH479/AC479-1</f>
        <v>0.48698884758364347</v>
      </c>
      <c r="AI481" s="73">
        <f>AI479/AD479-1</f>
        <v>-0.37542201215394999</v>
      </c>
      <c r="AJ481" s="73">
        <v>-0.47899999999999998</v>
      </c>
      <c r="AK481" s="24">
        <v>-0.17799999999999999</v>
      </c>
      <c r="AL481" s="73">
        <v>1.4</v>
      </c>
      <c r="AM481" s="73">
        <v>-0.36842105263157898</v>
      </c>
      <c r="AN481" s="73">
        <v>0.89189189189189189</v>
      </c>
      <c r="AO481" s="73">
        <v>1.2962962962962963</v>
      </c>
      <c r="AP481" s="24">
        <v>0.75182481751824826</v>
      </c>
      <c r="AQ481" s="73">
        <v>0.1785714285714286</v>
      </c>
      <c r="AR481" s="73">
        <v>1.1666666666666665</v>
      </c>
      <c r="AS481" s="73">
        <v>0.48571428571428577</v>
      </c>
      <c r="AT481" s="73">
        <v>1.6774193548387095</v>
      </c>
      <c r="AU481" s="24">
        <v>0.75416666666666665</v>
      </c>
      <c r="AV481" s="85" t="s">
        <v>44</v>
      </c>
      <c r="AW481" s="73">
        <v>1.25</v>
      </c>
      <c r="AX481" s="73">
        <v>-0.55769230769230771</v>
      </c>
      <c r="AY481" s="73">
        <v>-0.74698795180722888</v>
      </c>
      <c r="AZ481" s="24">
        <v>-0.53444180522565321</v>
      </c>
      <c r="BA481" s="83" t="s">
        <v>44</v>
      </c>
    </row>
    <row r="482" spans="1:53">
      <c r="A482" s="71"/>
      <c r="B482" s="24"/>
      <c r="C482" s="73"/>
      <c r="D482" s="73"/>
      <c r="E482" s="73"/>
      <c r="F482" s="73"/>
      <c r="G482" s="24"/>
      <c r="H482" s="73"/>
      <c r="I482" s="73"/>
      <c r="J482" s="73"/>
      <c r="K482" s="73"/>
      <c r="L482" s="24"/>
      <c r="M482" s="73"/>
      <c r="N482" s="73"/>
      <c r="O482" s="73"/>
      <c r="P482" s="73"/>
      <c r="Q482" s="24"/>
      <c r="R482" s="73"/>
      <c r="S482" s="73"/>
      <c r="T482" s="73"/>
      <c r="U482" s="73"/>
      <c r="V482" s="24"/>
      <c r="W482" s="73"/>
      <c r="X482" s="73"/>
      <c r="Y482" s="73"/>
      <c r="Z482" s="73"/>
      <c r="AA482" s="24"/>
      <c r="AB482" s="73"/>
      <c r="AC482" s="73"/>
      <c r="AD482" s="73"/>
      <c r="AE482" s="73"/>
      <c r="AF482" s="24"/>
      <c r="AG482" s="73"/>
      <c r="AH482" s="73"/>
      <c r="AI482" s="73"/>
      <c r="AJ482" s="73"/>
      <c r="AK482" s="24"/>
      <c r="AL482" s="73"/>
      <c r="AM482" s="73"/>
      <c r="AN482" s="73"/>
      <c r="AO482" s="73"/>
      <c r="AP482" s="24"/>
      <c r="AQ482" s="73"/>
      <c r="AR482" s="73"/>
      <c r="AS482" s="73"/>
      <c r="AT482" s="73"/>
      <c r="AU482" s="24"/>
      <c r="AV482" s="73"/>
      <c r="AW482" s="73"/>
      <c r="AX482" s="73"/>
      <c r="AY482" s="73"/>
      <c r="AZ482" s="24"/>
      <c r="BA482" s="73"/>
    </row>
    <row r="483" spans="1:53">
      <c r="A483" s="50" t="s">
        <v>20</v>
      </c>
      <c r="B483" s="40"/>
      <c r="C483" s="52"/>
      <c r="D483" s="52"/>
      <c r="E483" s="52"/>
      <c r="F483" s="52"/>
      <c r="G483" s="40"/>
      <c r="H483" s="52"/>
      <c r="I483" s="52"/>
      <c r="J483" s="52"/>
      <c r="K483" s="52"/>
      <c r="L483" s="40"/>
      <c r="M483" s="52"/>
      <c r="N483" s="52"/>
      <c r="O483" s="52"/>
      <c r="P483" s="52"/>
      <c r="Q483" s="40"/>
      <c r="R483" s="52"/>
      <c r="S483" s="52"/>
      <c r="T483" s="52"/>
      <c r="U483" s="52"/>
      <c r="V483" s="40"/>
      <c r="W483" s="52"/>
      <c r="X483" s="52"/>
      <c r="Y483" s="52"/>
      <c r="Z483" s="52"/>
      <c r="AA483" s="40"/>
      <c r="AB483" s="52"/>
      <c r="AC483" s="52"/>
      <c r="AD483" s="52"/>
      <c r="AE483" s="52"/>
      <c r="AF483" s="40"/>
      <c r="AG483" s="52"/>
      <c r="AH483" s="52"/>
      <c r="AI483" s="52"/>
      <c r="AJ483" s="52"/>
      <c r="AK483" s="40"/>
      <c r="AL483" s="52"/>
      <c r="AM483" s="52"/>
      <c r="AN483" s="52"/>
      <c r="AO483" s="52"/>
      <c r="AP483" s="40"/>
      <c r="AQ483" s="52"/>
      <c r="AR483" s="52"/>
      <c r="AS483" s="52"/>
      <c r="AT483" s="52"/>
      <c r="AU483" s="40"/>
      <c r="AV483" s="52"/>
      <c r="AW483" s="52"/>
      <c r="AX483" s="52"/>
      <c r="AY483" s="52"/>
      <c r="AZ483" s="40"/>
      <c r="BA483" s="52"/>
    </row>
    <row r="484" spans="1:53" s="36" customFormat="1">
      <c r="A484" s="69" t="s">
        <v>109</v>
      </c>
      <c r="B484" s="56">
        <f>B432/B426</f>
        <v>0.21043268309887528</v>
      </c>
      <c r="C484" s="80" t="s">
        <v>53</v>
      </c>
      <c r="D484" s="80" t="s">
        <v>53</v>
      </c>
      <c r="E484" s="80" t="s">
        <v>53</v>
      </c>
      <c r="F484" s="80" t="s">
        <v>53</v>
      </c>
      <c r="G484" s="56">
        <f t="shared" ref="G484:AX484" si="472">G432/G426</f>
        <v>0.27862758423727646</v>
      </c>
      <c r="H484" s="78">
        <f t="shared" si="472"/>
        <v>0.32656039105533874</v>
      </c>
      <c r="I484" s="78">
        <f t="shared" si="472"/>
        <v>0.32035001515562433</v>
      </c>
      <c r="J484" s="78">
        <f t="shared" si="472"/>
        <v>0.31177470948952685</v>
      </c>
      <c r="K484" s="78">
        <f t="shared" si="472"/>
        <v>0.3176281196809056</v>
      </c>
      <c r="L484" s="56">
        <f t="shared" si="472"/>
        <v>0.3190818296758765</v>
      </c>
      <c r="M484" s="78">
        <f t="shared" si="472"/>
        <v>0.3317774439471049</v>
      </c>
      <c r="N484" s="78">
        <f t="shared" si="472"/>
        <v>0.18647950356992224</v>
      </c>
      <c r="O484" s="78">
        <f t="shared" si="472"/>
        <v>0.34608331415187166</v>
      </c>
      <c r="P484" s="78">
        <f t="shared" si="472"/>
        <v>0.28374394083254206</v>
      </c>
      <c r="Q484" s="56">
        <f t="shared" si="472"/>
        <v>0.28686170582400988</v>
      </c>
      <c r="R484" s="78">
        <f t="shared" si="472"/>
        <v>0.32955492540993714</v>
      </c>
      <c r="S484" s="78">
        <f t="shared" si="472"/>
        <v>0.33409991088226559</v>
      </c>
      <c r="T484" s="78">
        <f t="shared" si="472"/>
        <v>0.33957796916156141</v>
      </c>
      <c r="U484" s="78">
        <f t="shared" si="472"/>
        <v>0.4564756048941267</v>
      </c>
      <c r="V484" s="56">
        <f t="shared" si="472"/>
        <v>0.36486145060967662</v>
      </c>
      <c r="W484" s="78">
        <f t="shared" si="472"/>
        <v>0.34668973659960067</v>
      </c>
      <c r="X484" s="78">
        <f t="shared" si="472"/>
        <v>0.37427458579215722</v>
      </c>
      <c r="Y484" s="78">
        <f t="shared" si="472"/>
        <v>0.32300109257052045</v>
      </c>
      <c r="Z484" s="78">
        <f t="shared" si="472"/>
        <v>0.34666460702533858</v>
      </c>
      <c r="AA484" s="56">
        <f t="shared" si="472"/>
        <v>0.34774394038119949</v>
      </c>
      <c r="AB484" s="78">
        <f t="shared" si="472"/>
        <v>0.31453309576969873</v>
      </c>
      <c r="AC484" s="78">
        <f t="shared" si="472"/>
        <v>0.3069507725832013</v>
      </c>
      <c r="AD484" s="78">
        <f t="shared" si="472"/>
        <v>0.3236671996568064</v>
      </c>
      <c r="AE484" s="78">
        <f t="shared" si="472"/>
        <v>0.2905493916004705</v>
      </c>
      <c r="AF484" s="56">
        <f t="shared" si="472"/>
        <v>0.3088277022729719</v>
      </c>
      <c r="AG484" s="78">
        <f t="shared" si="472"/>
        <v>0.31132075471698112</v>
      </c>
      <c r="AH484" s="78">
        <f t="shared" si="472"/>
        <v>0.30373831775700932</v>
      </c>
      <c r="AI484" s="78">
        <f t="shared" si="472"/>
        <v>0.30787037037037035</v>
      </c>
      <c r="AJ484" s="78">
        <f t="shared" si="472"/>
        <v>0.28636363636363638</v>
      </c>
      <c r="AK484" s="56">
        <v>0.30220417633410673</v>
      </c>
      <c r="AL484" s="78">
        <v>0.27272727272727271</v>
      </c>
      <c r="AM484" s="78">
        <v>0.28701594533029612</v>
      </c>
      <c r="AN484" s="78">
        <v>0.29596412556053814</v>
      </c>
      <c r="AO484" s="78">
        <v>0.23830734966592429</v>
      </c>
      <c r="AP484" s="56">
        <v>0.2733934611048478</v>
      </c>
      <c r="AQ484" s="78">
        <v>0.26879271070615035</v>
      </c>
      <c r="AR484" s="78">
        <v>0.28110599078341014</v>
      </c>
      <c r="AS484" s="78">
        <v>0.27649769585253459</v>
      </c>
      <c r="AT484" s="78">
        <v>0.28310502283105021</v>
      </c>
      <c r="AU484" s="56">
        <v>0.27736389684813756</v>
      </c>
      <c r="AV484" s="78">
        <v>0.25707547169811323</v>
      </c>
      <c r="AW484" s="78">
        <v>0.24759615384615385</v>
      </c>
      <c r="AX484" s="78">
        <v>0.23152709359605911</v>
      </c>
      <c r="AY484" s="78">
        <v>0.20792079207920791</v>
      </c>
      <c r="AZ484" s="56">
        <v>0.23636363636363636</v>
      </c>
      <c r="BA484" s="78">
        <v>0.152</v>
      </c>
    </row>
    <row r="485" spans="1:53" s="36" customFormat="1">
      <c r="A485" s="36" t="s">
        <v>31</v>
      </c>
      <c r="B485" s="56">
        <f t="shared" ref="B485:AG485" si="473">B447/B426</f>
        <v>3.9580216041158502E-2</v>
      </c>
      <c r="C485" s="78">
        <f t="shared" si="473"/>
        <v>7.0400302075193641E-2</v>
      </c>
      <c r="D485" s="191">
        <f t="shared" si="473"/>
        <v>0.11201316222441593</v>
      </c>
      <c r="E485" s="191">
        <f t="shared" si="473"/>
        <v>0.13971211515393842</v>
      </c>
      <c r="F485" s="191">
        <f t="shared" si="473"/>
        <v>0.14707437972597645</v>
      </c>
      <c r="G485" s="56">
        <f t="shared" si="473"/>
        <v>0.11711242390746725</v>
      </c>
      <c r="H485" s="78">
        <f t="shared" si="473"/>
        <v>0.17184234799964565</v>
      </c>
      <c r="I485" s="78">
        <f t="shared" si="473"/>
        <v>0.15701758584198799</v>
      </c>
      <c r="J485" s="78">
        <f t="shared" si="473"/>
        <v>0.15944497451708631</v>
      </c>
      <c r="K485" s="78">
        <f t="shared" si="473"/>
        <v>0.16034698439390524</v>
      </c>
      <c r="L485" s="56">
        <f t="shared" si="473"/>
        <v>0.16218722128022425</v>
      </c>
      <c r="M485" s="78">
        <f t="shared" si="473"/>
        <v>0.14994532671122285</v>
      </c>
      <c r="N485" s="78">
        <f t="shared" si="473"/>
        <v>1.8398927129135972E-2</v>
      </c>
      <c r="O485" s="78">
        <f t="shared" si="473"/>
        <v>0.18146590210625099</v>
      </c>
      <c r="P485" s="78">
        <f t="shared" si="473"/>
        <v>0.10144670431262799</v>
      </c>
      <c r="Q485" s="56">
        <f t="shared" si="473"/>
        <v>0.11265122273252764</v>
      </c>
      <c r="R485" s="125">
        <f t="shared" si="473"/>
        <v>0.15132536062137836</v>
      </c>
      <c r="S485" s="125">
        <f t="shared" si="473"/>
        <v>0.16168184968808794</v>
      </c>
      <c r="T485" s="125">
        <f t="shared" si="473"/>
        <v>0.15627373800151922</v>
      </c>
      <c r="U485" s="125">
        <f t="shared" si="473"/>
        <v>0.26248603995235642</v>
      </c>
      <c r="V485" s="56">
        <f t="shared" si="473"/>
        <v>0.18215119881344866</v>
      </c>
      <c r="W485" s="125">
        <f t="shared" si="473"/>
        <v>0.12384090385501458</v>
      </c>
      <c r="X485" s="125">
        <f t="shared" si="473"/>
        <v>0.18224166446473483</v>
      </c>
      <c r="Y485" s="125">
        <f t="shared" si="473"/>
        <v>0.13406336909018673</v>
      </c>
      <c r="Z485" s="125">
        <f t="shared" si="473"/>
        <v>0.17817368661086022</v>
      </c>
      <c r="AA485" s="56">
        <f t="shared" si="473"/>
        <v>0.15449262038858333</v>
      </c>
      <c r="AB485" s="125">
        <f t="shared" si="473"/>
        <v>0.16709330650417181</v>
      </c>
      <c r="AC485" s="125">
        <f t="shared" si="473"/>
        <v>0.16735340729001585</v>
      </c>
      <c r="AD485" s="125">
        <f t="shared" si="473"/>
        <v>0.17649123491215413</v>
      </c>
      <c r="AE485" s="125">
        <f t="shared" si="473"/>
        <v>0.14267992748538572</v>
      </c>
      <c r="AF485" s="56">
        <f t="shared" si="473"/>
        <v>0.1632811812017495</v>
      </c>
      <c r="AG485" s="125">
        <f t="shared" si="473"/>
        <v>0.17216981132075471</v>
      </c>
      <c r="AH485" s="125">
        <f t="shared" ref="AH485:AX485" si="474">AH447/AH426</f>
        <v>0.15654205607476634</v>
      </c>
      <c r="AI485" s="125">
        <f t="shared" si="474"/>
        <v>0.17592592592592593</v>
      </c>
      <c r="AJ485" s="125">
        <f t="shared" si="474"/>
        <v>0.12954545454545455</v>
      </c>
      <c r="AK485" s="56">
        <v>0.15835266821345709</v>
      </c>
      <c r="AL485" s="125">
        <v>0.13409090909090909</v>
      </c>
      <c r="AM485" s="125">
        <v>0.15945330296127563</v>
      </c>
      <c r="AN485" s="125">
        <v>0.16591928251121077</v>
      </c>
      <c r="AO485" s="125">
        <v>0.10467706013363029</v>
      </c>
      <c r="AP485" s="56">
        <v>0.14092446448703494</v>
      </c>
      <c r="AQ485" s="125">
        <v>0.12984054669703873</v>
      </c>
      <c r="AR485" s="125">
        <v>0.17741935483870969</v>
      </c>
      <c r="AS485" s="125">
        <v>0.14285714285714285</v>
      </c>
      <c r="AT485" s="125">
        <v>0.15525114155251141</v>
      </c>
      <c r="AU485" s="56">
        <v>0.15128939828080229</v>
      </c>
      <c r="AV485" s="125">
        <v>0.12264150943396226</v>
      </c>
      <c r="AW485" s="125">
        <v>0.11778846153846154</v>
      </c>
      <c r="AX485" s="125">
        <v>8.6206896551724144E-2</v>
      </c>
      <c r="AY485" s="125">
        <v>6.6831683168316836E-2</v>
      </c>
      <c r="AZ485" s="56">
        <v>9.8787878787878786E-2</v>
      </c>
      <c r="BA485" s="125">
        <v>-2.6666666666666666E-3</v>
      </c>
    </row>
    <row r="486" spans="1:53" s="36" customFormat="1">
      <c r="A486" s="69" t="s">
        <v>39</v>
      </c>
      <c r="B486" s="190">
        <f t="shared" ref="B486:Y486" si="475">B456/B426</f>
        <v>-8.3127005992975789E-2</v>
      </c>
      <c r="C486" s="191">
        <f t="shared" si="475"/>
        <v>-0.17245294497092001</v>
      </c>
      <c r="D486" s="191">
        <f t="shared" si="475"/>
        <v>-0.26145969068772623</v>
      </c>
      <c r="E486" s="191">
        <f t="shared" si="475"/>
        <v>-0.21891776622684259</v>
      </c>
      <c r="F486" s="191">
        <f t="shared" si="475"/>
        <v>-4.6485667583622402E-2</v>
      </c>
      <c r="G486" s="190">
        <f t="shared" si="475"/>
        <v>-0.17499695894308728</v>
      </c>
      <c r="H486" s="191">
        <f t="shared" si="475"/>
        <v>-3.0043097383410378E-3</v>
      </c>
      <c r="I486" s="191">
        <f t="shared" si="475"/>
        <v>-0.25300320661104286</v>
      </c>
      <c r="J486" s="191">
        <f t="shared" si="475"/>
        <v>-0.23250563147422398</v>
      </c>
      <c r="K486" s="191">
        <f t="shared" si="475"/>
        <v>-9.6615261571273356E-2</v>
      </c>
      <c r="L486" s="190">
        <f t="shared" si="475"/>
        <v>-0.14535344526229471</v>
      </c>
      <c r="M486" s="191">
        <f t="shared" si="475"/>
        <v>-2.1120751323400168E-2</v>
      </c>
      <c r="N486" s="191">
        <f t="shared" si="475"/>
        <v>-0.3606139205499726</v>
      </c>
      <c r="O486" s="191">
        <f t="shared" si="475"/>
        <v>-0.1981828621438888</v>
      </c>
      <c r="P486" s="191">
        <f t="shared" si="475"/>
        <v>-0.21047673779421319</v>
      </c>
      <c r="Q486" s="190">
        <f t="shared" si="475"/>
        <v>-0.19813826258899636</v>
      </c>
      <c r="R486" s="191">
        <f t="shared" si="475"/>
        <v>-0.18093453334977191</v>
      </c>
      <c r="S486" s="191">
        <f t="shared" si="475"/>
        <v>-0.2187444301415982</v>
      </c>
      <c r="T486" s="191">
        <f t="shared" si="475"/>
        <v>-0.18715410340643404</v>
      </c>
      <c r="U486" s="191">
        <f t="shared" si="475"/>
        <v>1.9835030000173431E-2</v>
      </c>
      <c r="V486" s="190">
        <f t="shared" si="475"/>
        <v>-0.14184316988600879</v>
      </c>
      <c r="W486" s="191">
        <f t="shared" si="475"/>
        <v>-0.15325506834587621</v>
      </c>
      <c r="X486" s="191">
        <f t="shared" si="475"/>
        <v>-0.26091424209506475</v>
      </c>
      <c r="Y486" s="191">
        <f t="shared" si="475"/>
        <v>-0.29467620182757248</v>
      </c>
      <c r="Z486" s="191">
        <v>-5.1831854805094196E-2</v>
      </c>
      <c r="AA486" s="190">
        <v>-0.18968101350004954</v>
      </c>
      <c r="AB486" s="191">
        <f t="shared" ref="AB486:AX486" si="476">AB456/AB426</f>
        <v>-0.15042089899167618</v>
      </c>
      <c r="AC486" s="191">
        <f t="shared" si="476"/>
        <v>-0.24994552297939782</v>
      </c>
      <c r="AD486" s="191">
        <f t="shared" si="476"/>
        <v>-0.33169861357564884</v>
      </c>
      <c r="AE486" s="191">
        <f t="shared" si="476"/>
        <v>-0.19869914337920991</v>
      </c>
      <c r="AF486" s="190">
        <f t="shared" si="476"/>
        <v>-0.23280961047347876</v>
      </c>
      <c r="AG486" s="191">
        <f t="shared" si="476"/>
        <v>-8.0188679245283015E-2</v>
      </c>
      <c r="AH486" s="191">
        <f t="shared" si="476"/>
        <v>-0.26869158878504673</v>
      </c>
      <c r="AI486" s="191">
        <f t="shared" si="476"/>
        <v>-0.19907407407407407</v>
      </c>
      <c r="AJ486" s="191">
        <f t="shared" si="476"/>
        <v>-0.19772727272727272</v>
      </c>
      <c r="AK486" s="190">
        <v>-0.18677494199535963</v>
      </c>
      <c r="AL486" s="191">
        <v>-6.8181818181818179E-3</v>
      </c>
      <c r="AM486" s="191">
        <v>-0.37813211845102507</v>
      </c>
      <c r="AN486" s="191">
        <v>-0.16816143497757849</v>
      </c>
      <c r="AO486" s="191">
        <v>-0.24498886414253898</v>
      </c>
      <c r="AP486" s="190">
        <v>-0.19954904171364149</v>
      </c>
      <c r="AQ486" s="191">
        <v>-0.16173120728929385</v>
      </c>
      <c r="AR486" s="191">
        <v>-0.26267281105990781</v>
      </c>
      <c r="AS486" s="191">
        <v>-0.32718894009216593</v>
      </c>
      <c r="AT486" s="191">
        <v>0.90182648401826482</v>
      </c>
      <c r="AU486" s="190">
        <v>3.8968481375358167E-2</v>
      </c>
      <c r="AV486" s="191">
        <v>4.4811320754716978E-2</v>
      </c>
      <c r="AW486" s="191">
        <v>-0.36298076923076922</v>
      </c>
      <c r="AX486" s="191">
        <v>-0.30295566502463056</v>
      </c>
      <c r="AY486" s="191">
        <v>2.7227722772277228E-2</v>
      </c>
      <c r="AZ486" s="190">
        <v>-0.14787878787878789</v>
      </c>
      <c r="BA486" s="191">
        <v>2.6666666666666666E-3</v>
      </c>
    </row>
    <row r="487" spans="1:53" s="36" customFormat="1">
      <c r="A487" s="69" t="s">
        <v>10</v>
      </c>
      <c r="B487" s="56">
        <f t="shared" ref="B487:Y487" si="477">B459/B426</f>
        <v>0.2326799889456137</v>
      </c>
      <c r="C487" s="78">
        <f t="shared" si="477"/>
        <v>0.24008160225717295</v>
      </c>
      <c r="D487" s="191">
        <f t="shared" si="477"/>
        <v>0.27152615992102663</v>
      </c>
      <c r="E487" s="191">
        <f t="shared" si="477"/>
        <v>0.29628415300546451</v>
      </c>
      <c r="F487" s="191">
        <f t="shared" si="477"/>
        <v>0.32205876490053031</v>
      </c>
      <c r="G487" s="56">
        <f t="shared" si="477"/>
        <v>0.28230792420099537</v>
      </c>
      <c r="H487" s="78">
        <f t="shared" si="477"/>
        <v>0.31917859618220762</v>
      </c>
      <c r="I487" s="78">
        <f t="shared" si="477"/>
        <v>0.3047503576195566</v>
      </c>
      <c r="J487" s="78">
        <f t="shared" si="477"/>
        <v>0.31433482892672115</v>
      </c>
      <c r="K487" s="78">
        <f t="shared" si="477"/>
        <v>0.32227303488300563</v>
      </c>
      <c r="L487" s="56">
        <f t="shared" si="477"/>
        <v>0.31521756886114083</v>
      </c>
      <c r="M487" s="78">
        <f t="shared" si="477"/>
        <v>0.31282574038874239</v>
      </c>
      <c r="N487" s="78">
        <f t="shared" si="477"/>
        <v>0.19058358820751262</v>
      </c>
      <c r="O487" s="78">
        <f t="shared" si="477"/>
        <v>0.3529102282298841</v>
      </c>
      <c r="P487" s="78">
        <f t="shared" si="477"/>
        <v>0.31388486332517118</v>
      </c>
      <c r="Q487" s="56">
        <f t="shared" si="477"/>
        <v>0.29252778076099389</v>
      </c>
      <c r="R487" s="78">
        <f t="shared" si="477"/>
        <v>0.32046110220687951</v>
      </c>
      <c r="S487" s="78">
        <f t="shared" si="477"/>
        <v>0.33776611545697599</v>
      </c>
      <c r="T487" s="78">
        <f t="shared" si="477"/>
        <v>0.3389613976935294</v>
      </c>
      <c r="U487" s="78">
        <f t="shared" si="477"/>
        <v>0.41601561049052715</v>
      </c>
      <c r="V487" s="56">
        <f t="shared" si="477"/>
        <v>0.35288968618286654</v>
      </c>
      <c r="W487" s="78">
        <f t="shared" si="477"/>
        <v>0.28317462755337119</v>
      </c>
      <c r="X487" s="78">
        <f t="shared" si="477"/>
        <v>0.3138731491539688</v>
      </c>
      <c r="Y487" s="78">
        <f t="shared" si="477"/>
        <v>0.29405542312276517</v>
      </c>
      <c r="Z487" s="78">
        <v>0.33600000000000002</v>
      </c>
      <c r="AA487" s="56">
        <f>AA459/AA426</f>
        <v>0.30654330028105242</v>
      </c>
      <c r="AB487" s="78">
        <f>AB459/AB426</f>
        <v>0.32259919066464132</v>
      </c>
      <c r="AC487" s="78">
        <f>AC459/AC426</f>
        <v>0.32609201664025361</v>
      </c>
      <c r="AD487" s="78">
        <f>AD459/AD426</f>
        <v>0.33737788350915504</v>
      </c>
      <c r="AE487" s="78">
        <v>0.313</v>
      </c>
      <c r="AF487" s="56">
        <f t="shared" ref="AF487:AX487" si="478">AF459/AF426</f>
        <v>0.32395414428430253</v>
      </c>
      <c r="AG487" s="78">
        <f t="shared" si="478"/>
        <v>0.33726415094339623</v>
      </c>
      <c r="AH487" s="78">
        <f t="shared" si="478"/>
        <v>0.32943925233644861</v>
      </c>
      <c r="AI487" s="78">
        <f t="shared" si="478"/>
        <v>0.34953703703703703</v>
      </c>
      <c r="AJ487" s="78">
        <f t="shared" si="478"/>
        <v>0.30681818181818182</v>
      </c>
      <c r="AK487" s="56">
        <v>0.33062645011600927</v>
      </c>
      <c r="AL487" s="78">
        <v>0.30681818181818182</v>
      </c>
      <c r="AM487" s="78">
        <v>0.34168564920273348</v>
      </c>
      <c r="AN487" s="78">
        <v>0.34080717488789236</v>
      </c>
      <c r="AO487" s="78">
        <v>0.30066815144766146</v>
      </c>
      <c r="AP487" s="56">
        <v>0.32243517474633598</v>
      </c>
      <c r="AQ487" s="78">
        <v>0.30296127562642367</v>
      </c>
      <c r="AR487" s="78">
        <v>0.34792626728110598</v>
      </c>
      <c r="AS487" s="78">
        <v>0.31566820276497698</v>
      </c>
      <c r="AT487" s="78">
        <v>0.31735159817351599</v>
      </c>
      <c r="AU487" s="56">
        <v>0.3209169054441261</v>
      </c>
      <c r="AV487" s="78">
        <v>0.28773584905660377</v>
      </c>
      <c r="AW487" s="78">
        <v>0.28846153846153844</v>
      </c>
      <c r="AX487" s="78">
        <v>0.26354679802955666</v>
      </c>
      <c r="AY487" s="78">
        <v>0.24504950495049505</v>
      </c>
      <c r="AZ487" s="56">
        <v>0.27151515151515154</v>
      </c>
      <c r="BA487" s="78">
        <v>0.20799999999999999</v>
      </c>
    </row>
    <row r="488" spans="1:53" s="36" customFormat="1">
      <c r="A488" s="69" t="s">
        <v>19</v>
      </c>
      <c r="B488" s="56">
        <f t="shared" ref="B488:AG488" si="479">B471/B426</f>
        <v>0.17991649838884441</v>
      </c>
      <c r="C488" s="78">
        <f t="shared" si="479"/>
        <v>0.20820113173310398</v>
      </c>
      <c r="D488" s="191">
        <f t="shared" si="479"/>
        <v>0.10412372490950972</v>
      </c>
      <c r="E488" s="191">
        <f t="shared" si="479"/>
        <v>0.14887378381980543</v>
      </c>
      <c r="F488" s="191">
        <f t="shared" si="479"/>
        <v>0.16674507302422625</v>
      </c>
      <c r="G488" s="56">
        <f t="shared" si="479"/>
        <v>0.15703819567482374</v>
      </c>
      <c r="H488" s="78">
        <f t="shared" si="479"/>
        <v>0.16008046234581091</v>
      </c>
      <c r="I488" s="191">
        <f t="shared" si="479"/>
        <v>0.15929890613616662</v>
      </c>
      <c r="J488" s="191">
        <f t="shared" si="479"/>
        <v>0.22969580839582496</v>
      </c>
      <c r="K488" s="191">
        <f t="shared" si="479"/>
        <v>0.13541260791993923</v>
      </c>
      <c r="L488" s="56">
        <f t="shared" si="479"/>
        <v>0.1709063109508081</v>
      </c>
      <c r="M488" s="78">
        <f t="shared" si="479"/>
        <v>0.15593128538434811</v>
      </c>
      <c r="N488" s="191">
        <f t="shared" si="479"/>
        <v>0.15970571818955567</v>
      </c>
      <c r="O488" s="191">
        <f t="shared" si="479"/>
        <v>0.16368405476707806</v>
      </c>
      <c r="P488" s="191">
        <f t="shared" si="479"/>
        <v>0.22337714257158553</v>
      </c>
      <c r="Q488" s="56">
        <f t="shared" si="479"/>
        <v>0.17586437808368025</v>
      </c>
      <c r="R488" s="78">
        <f t="shared" si="479"/>
        <v>0.17535692269757119</v>
      </c>
      <c r="S488" s="191">
        <f t="shared" si="479"/>
        <v>0.15940934746014457</v>
      </c>
      <c r="T488" s="191">
        <f t="shared" si="479"/>
        <v>0.16606982548561167</v>
      </c>
      <c r="U488" s="191">
        <f t="shared" si="479"/>
        <v>0.15352957053817073</v>
      </c>
      <c r="V488" s="56">
        <f t="shared" si="479"/>
        <v>0.16329041906735137</v>
      </c>
      <c r="W488" s="78">
        <f t="shared" si="479"/>
        <v>0.13529267777607126</v>
      </c>
      <c r="X488" s="191">
        <f t="shared" si="479"/>
        <v>0.16942397463374531</v>
      </c>
      <c r="Y488" s="191">
        <f t="shared" si="479"/>
        <v>0.21496573301549463</v>
      </c>
      <c r="Z488" s="191">
        <f t="shared" si="479"/>
        <v>0.17658972435133558</v>
      </c>
      <c r="AA488" s="56">
        <f t="shared" si="479"/>
        <v>0.17372740975822651</v>
      </c>
      <c r="AB488" s="78">
        <f t="shared" si="479"/>
        <v>0.22214843101444462</v>
      </c>
      <c r="AC488" s="191">
        <f t="shared" si="479"/>
        <v>0.20980586370839938</v>
      </c>
      <c r="AD488" s="191">
        <f t="shared" si="479"/>
        <v>0.16281711288341166</v>
      </c>
      <c r="AE488" s="191">
        <f t="shared" si="479"/>
        <v>0.19596188432625833</v>
      </c>
      <c r="AF488" s="56">
        <f t="shared" si="479"/>
        <v>0.19752742145380184</v>
      </c>
      <c r="AG488" s="78">
        <f t="shared" si="479"/>
        <v>0.18396226415094338</v>
      </c>
      <c r="AH488" s="191">
        <f t="shared" ref="AH488:AX488" si="480">AH471/AH426</f>
        <v>0.15887850467289719</v>
      </c>
      <c r="AI488" s="191">
        <f t="shared" si="480"/>
        <v>0.14814814814814814</v>
      </c>
      <c r="AJ488" s="191">
        <f t="shared" si="480"/>
        <v>0.21590909090909091</v>
      </c>
      <c r="AK488" s="56">
        <v>0.17691415313225059</v>
      </c>
      <c r="AL488" s="78">
        <v>0.14772727272727273</v>
      </c>
      <c r="AM488" s="191">
        <v>0.18678815489749431</v>
      </c>
      <c r="AN488" s="191">
        <v>0.16816143497757849</v>
      </c>
      <c r="AO488" s="191">
        <v>9.5768374164810696E-2</v>
      </c>
      <c r="AP488" s="56">
        <v>0.14937993235625704</v>
      </c>
      <c r="AQ488" s="78">
        <v>0.13439635535307518</v>
      </c>
      <c r="AR488" s="191">
        <v>0.13364055299539171</v>
      </c>
      <c r="AS488" s="191">
        <v>0.11751152073732719</v>
      </c>
      <c r="AT488" s="191">
        <v>9.3607305936073054E-2</v>
      </c>
      <c r="AU488" s="56">
        <v>0.11977077363896849</v>
      </c>
      <c r="AV488" s="78">
        <v>0.14150943396226415</v>
      </c>
      <c r="AW488" s="78">
        <v>0.12740384615384615</v>
      </c>
      <c r="AX488" s="78">
        <v>0.16995073891625614</v>
      </c>
      <c r="AY488" s="191">
        <v>0.13118811881188119</v>
      </c>
      <c r="AZ488" s="56">
        <v>0.14242424242424243</v>
      </c>
      <c r="BA488" s="78">
        <v>0.16533333333333333</v>
      </c>
    </row>
    <row r="489" spans="1:53" s="36" customFormat="1" ht="6.75" customHeight="1">
      <c r="A489" s="44"/>
      <c r="B489" s="44"/>
      <c r="C489" s="44"/>
      <c r="D489" s="44"/>
      <c r="E489" s="44"/>
      <c r="F489" s="44"/>
      <c r="G489" s="44"/>
      <c r="H489" s="44"/>
      <c r="I489" s="44"/>
      <c r="J489" s="44"/>
      <c r="K489" s="44"/>
      <c r="L489" s="44"/>
      <c r="M489" s="44"/>
      <c r="N489" s="44"/>
      <c r="O489" s="44"/>
      <c r="P489" s="44"/>
      <c r="Q489" s="44"/>
      <c r="R489" s="44"/>
      <c r="S489" s="44"/>
      <c r="T489" s="44"/>
      <c r="U489" s="44"/>
      <c r="V489" s="44"/>
      <c r="W489" s="44"/>
      <c r="X489" s="44"/>
      <c r="Y489" s="44"/>
      <c r="Z489" s="44"/>
      <c r="AA489" s="44"/>
      <c r="AB489" s="44"/>
      <c r="AC489" s="44"/>
      <c r="AD489" s="44"/>
      <c r="AE489" s="44"/>
      <c r="AF489" s="44"/>
      <c r="AG489" s="44"/>
      <c r="AH489" s="44"/>
      <c r="AI489" s="44"/>
      <c r="AJ489" s="44"/>
      <c r="AK489" s="44"/>
      <c r="AL489" s="44"/>
      <c r="AM489" s="44"/>
      <c r="AN489" s="44"/>
      <c r="AO489" s="44"/>
      <c r="AP489" s="44"/>
      <c r="AQ489" s="44"/>
      <c r="AR489" s="44"/>
      <c r="AS489" s="44"/>
      <c r="AT489" s="44"/>
      <c r="AU489" s="44"/>
      <c r="AV489" s="44"/>
      <c r="AW489" s="44"/>
      <c r="AX489" s="44"/>
      <c r="AY489" s="44"/>
      <c r="AZ489" s="44"/>
      <c r="BA489" s="44"/>
    </row>
    <row r="490" spans="1:53" s="36" customFormat="1" ht="20.25" customHeight="1">
      <c r="B490" s="93"/>
      <c r="C490" s="93"/>
      <c r="D490" s="93"/>
      <c r="E490" s="93"/>
      <c r="F490" s="93"/>
      <c r="G490" s="93"/>
      <c r="H490" s="93"/>
      <c r="I490" s="93"/>
      <c r="J490" s="93"/>
      <c r="K490" s="93"/>
      <c r="L490" s="93"/>
      <c r="M490" s="93"/>
      <c r="N490" s="93"/>
      <c r="O490" s="93"/>
      <c r="P490" s="93"/>
      <c r="Q490" s="93"/>
      <c r="R490" s="93"/>
      <c r="W490" s="93"/>
      <c r="X490" s="93"/>
      <c r="AB490" s="93"/>
      <c r="AC490" s="93"/>
      <c r="AD490" s="93"/>
      <c r="AG490" s="93"/>
    </row>
  </sheetData>
  <customSheetViews>
    <customSheetView guid="{C6BBAF30-1E81-42FB-BA93-01B6813E2C8C}" showPageBreaks="1" printArea="1" view="pageBreakPreview" showRuler="0">
      <pane xSplit="1" ySplit="5" topLeftCell="B6" activePane="bottomRight" state="frozenSplit"/>
      <selection pane="bottomRight"/>
      <rowBreaks count="5" manualBreakCount="5">
        <brk id="69" max="14" man="1"/>
        <brk id="118" max="14" man="1"/>
        <brk id="162" max="14" man="1"/>
        <brk id="209" max="14" man="1"/>
        <brk id="254" max="14" man="1"/>
      </rowBreaks>
      <pageMargins left="0.7" right="0.7" top="0.75" bottom="0.75" header="0.3" footer="0.3"/>
      <printOptions horizontalCentered="1"/>
      <pageSetup paperSize="9" scale="58" fitToWidth="3" fitToHeight="5" orientation="landscape"/>
      <headerFooter alignWithMargins="0">
        <oddHeader>&amp;C&amp;12Bezeq - The Israel Telecommunication Corp. Ltd.</oddHeader>
        <oddFooter>&amp;L
&amp;R&amp;P of &amp;N
Key financial metrics</oddFooter>
      </headerFooter>
    </customSheetView>
    <customSheetView guid="{F07085DA-2B2D-4BE1-891D-F25D604A092E}" showPageBreaks="1" printArea="1" showRuler="0">
      <pane xSplit="1" ySplit="5" topLeftCell="H75" activePane="bottomRight" state="frozenSplit"/>
      <selection pane="bottomRight" activeCell="A77" sqref="A77"/>
      <rowBreaks count="6" manualBreakCount="6">
        <brk id="65" max="12" man="1"/>
        <brk id="112" max="12" man="1"/>
        <brk id="156" max="12" man="1"/>
        <brk id="200" max="12" man="1"/>
        <brk id="244" max="12" man="1"/>
        <brk id="288" max="16383" man="1"/>
      </rowBreaks>
      <pageMargins left="0.7" right="0.7" top="0.75" bottom="0.75" header="0.3" footer="0.3"/>
      <pageSetup paperSize="9" scale="60" orientation="landscape"/>
      <headerFooter alignWithMargins="0">
        <oddHeader>&amp;C&amp;12Bezeq - The Israel Telecommunication Corp. Ltd.</oddHeader>
        <oddFooter>&amp;L
&amp;R&amp;P of &amp;N
Key financial metrics</oddFooter>
      </headerFooter>
    </customSheetView>
    <customSheetView guid="{6A44E415-E6EC-4CA2-8B4C-A374F00F0261}" showPageBreaks="1" printArea="1" showRuler="0">
      <pane xSplit="1" ySplit="5" topLeftCell="B6" activePane="bottomRight" state="frozenSplit"/>
      <selection pane="bottomRight" activeCell="B6" sqref="B6"/>
      <rowBreaks count="4" manualBreakCount="4">
        <brk id="61" max="19" man="1"/>
        <brk id="98" max="19" man="1"/>
        <brk id="139" max="19" man="1"/>
        <brk id="180" max="19" man="1"/>
      </rowBreaks>
      <pageMargins left="0.7" right="0.7" top="0.75" bottom="0.75" header="0.3" footer="0.3"/>
      <pageSetup paperSize="9" scale="60" orientation="landscape"/>
      <headerFooter alignWithMargins="0">
        <oddHeader>&amp;C&amp;12Bezeq - The Israel Telecommunication Corp. Ltd.</oddHeader>
        <oddFooter>&amp;L
&amp;R&amp;P of &amp;N
Key financial metrics</oddFooter>
      </headerFooter>
    </customSheetView>
    <customSheetView guid="{C32ED439-2914-4073-BFBF-7718D6CFE811}" showPageBreaks="1" showGridLines="0" printArea="1">
      <pane xSplit="1" ySplit="5" topLeftCell="J6" activePane="bottomRight" state="frozenSplit"/>
      <selection pane="bottomRight" activeCell="R1" sqref="R1"/>
      <rowBreaks count="5" manualBreakCount="5">
        <brk id="69" max="17" man="1"/>
        <brk id="131" max="17" man="1"/>
        <brk id="182" max="17" man="1"/>
        <brk id="229" max="17" man="1"/>
        <brk id="274" max="16" man="1"/>
      </rowBreaks>
      <pageMargins left="0.7" right="0.7" top="0.75" bottom="0.75" header="0.3" footer="0.3"/>
      <pageSetup paperSize="9" scale="60" orientation="landscape"/>
      <headerFooter alignWithMargins="0">
        <oddHeader>&amp;C&amp;12Bezeq - The Israel Telecommunication Corp. Ltd.</oddHeader>
        <oddFooter>&amp;L
&amp;R&amp;P of &amp;N
Key financial metrics</oddFooter>
      </headerFooter>
    </customSheetView>
    <customSheetView guid="{44BC518B-F505-4956-BE42-792973965029}" showPageBreaks="1" showGridLines="0" printArea="1" showRuler="0">
      <pane xSplit="1" ySplit="5" topLeftCell="M185" activePane="bottomRight" state="frozenSplit"/>
      <selection pane="bottomRight" activeCell="T194" sqref="T194"/>
      <rowBreaks count="5" manualBreakCount="5">
        <brk id="69" max="17" man="1"/>
        <brk id="131" max="17" man="1"/>
        <brk id="182" max="17" man="1"/>
        <brk id="229" max="17" man="1"/>
        <brk id="274" max="16" man="1"/>
      </rowBreaks>
      <pageMargins left="0.7" right="0.7" top="0.75" bottom="0.75" header="0.3" footer="0.3"/>
      <pageSetup paperSize="9" scale="60" orientation="landscape"/>
      <headerFooter alignWithMargins="0">
        <oddHeader>&amp;C&amp;12Bezeq - The Israel Telecommunication Corp. Ltd.</oddHeader>
        <oddFooter>&amp;L
&amp;R&amp;P of &amp;N
Key financial metrics</oddFooter>
      </headerFooter>
    </customSheetView>
    <customSheetView guid="{7DC6D345-C4C0-4162-8636-D495A245EBF8}" showPageBreaks="1" showGridLines="0" printArea="1" hiddenColumns="1">
      <pane xSplit="1" ySplit="4" topLeftCell="W29" activePane="bottomRight" state="frozenSplit"/>
      <selection pane="bottomRight" activeCell="AD53" sqref="AD53"/>
      <rowBreaks count="6" manualBreakCount="6">
        <brk id="72" max="29" man="1"/>
        <brk id="104" max="29" man="1"/>
        <brk id="169" max="29" man="1"/>
        <brk id="197" max="29" man="1"/>
        <brk id="260" max="29" man="1"/>
        <brk id="315" max="29" man="1"/>
      </rowBreaks>
      <pageMargins left="0.7" right="0.7" top="0.75" bottom="0.75" header="0.3" footer="0.3"/>
      <pageSetup paperSize="9" scale="62" orientation="landscape"/>
      <headerFooter alignWithMargins="0">
        <oddHeader>&amp;C&amp;12Bezeq - The Israel Telecommunication Corp. Ltd.</oddHeader>
        <oddFooter>&amp;L
&amp;R&amp;P of &amp;N
Key financial metrics</oddFooter>
      </headerFooter>
    </customSheetView>
    <customSheetView guid="{67DDFA58-7FF7-4BDB-BFFF-31DB4021D095}" showGridLines="0" hiddenColumns="1">
      <pane xSplit="1" ySplit="4" topLeftCell="Y182" activePane="bottomRight" state="frozenSplit"/>
      <selection pane="bottomRight" activeCell="AD147" sqref="AD147"/>
      <rowBreaks count="6" manualBreakCount="6">
        <brk id="72" max="29" man="1"/>
        <brk id="104" max="29" man="1"/>
        <brk id="169" max="29" man="1"/>
        <brk id="197" max="29" man="1"/>
        <brk id="260" max="29" man="1"/>
        <brk id="315" max="29" man="1"/>
      </rowBreaks>
      <pageMargins left="0.7" right="0.7" top="0.75" bottom="0.75" header="0.3" footer="0.3"/>
      <pageSetup paperSize="9" scale="62" orientation="landscape"/>
      <headerFooter alignWithMargins="0">
        <oddHeader>&amp;C&amp;12Bezeq - The Israel Telecommunication Corp. Ltd.</oddHeader>
        <oddFooter>&amp;L
&amp;R&amp;P of &amp;N
Key financial metrics</oddFooter>
      </headerFooter>
    </customSheetView>
  </customSheetViews>
  <phoneticPr fontId="4" type="noConversion"/>
  <pageMargins left="0.19685039370078741" right="0.11811023622047245" top="0.11811023622047245" bottom="0.11811023622047245" header="0.11811023622047245" footer="3.937007874015748E-2"/>
  <pageSetup paperSize="9" scale="67" orientation="landscape" r:id="rId1"/>
  <headerFooter alignWithMargins="0">
    <oddHeader>&amp;C&amp;12Bezeq - The Israel Telecommunication Corp. Ltd.</oddHeader>
    <oddFooter>&amp;L
&amp;R&amp;P of &amp;N
Key financial metrics</oddFooter>
  </headerFooter>
  <rowBreaks count="7" manualBreakCount="7">
    <brk id="77" max="52" man="1"/>
    <brk id="128" max="52" man="1"/>
    <brk id="172" max="52" man="1"/>
    <brk id="246" max="52" man="1"/>
    <brk id="279" max="52" man="1"/>
    <brk id="351" max="52" man="1"/>
    <brk id="422" max="52" man="1"/>
  </rowBreaks>
  <drawing r:id="rId2"/>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AR187"/>
  <sheetViews>
    <sheetView showGridLines="0" tabSelected="1" topLeftCell="A4" zoomScale="110" zoomScaleNormal="110" workbookViewId="0">
      <pane xSplit="2" ySplit="3" topLeftCell="C7" activePane="bottomRight" state="frozen"/>
      <selection activeCell="F17" sqref="F17"/>
      <selection pane="topRight" activeCell="F17" sqref="F17"/>
      <selection pane="bottomLeft" activeCell="F17" sqref="F17"/>
      <selection pane="bottomRight" activeCell="F17" sqref="F17"/>
    </sheetView>
  </sheetViews>
  <sheetFormatPr defaultColWidth="8.7109375" defaultRowHeight="12.75"/>
  <cols>
    <col min="1" max="1" width="46.42578125" bestFit="1" customWidth="1"/>
    <col min="2" max="2" width="0" hidden="1" customWidth="1"/>
    <col min="4" max="7" width="0" hidden="1" customWidth="1"/>
    <col min="9" max="12" width="0" hidden="1" customWidth="1"/>
  </cols>
  <sheetData>
    <row r="4" spans="1:24">
      <c r="A4" s="105"/>
      <c r="B4" s="105"/>
      <c r="C4" s="105"/>
      <c r="D4" s="105"/>
      <c r="E4" s="105"/>
      <c r="F4" s="105"/>
      <c r="G4" s="105"/>
      <c r="H4" s="105"/>
      <c r="I4" s="105"/>
    </row>
    <row r="5" spans="1:24">
      <c r="A5" s="105"/>
      <c r="B5" s="47" t="s">
        <v>2</v>
      </c>
      <c r="C5" s="47" t="s">
        <v>5</v>
      </c>
      <c r="D5" s="47" t="s">
        <v>98</v>
      </c>
      <c r="E5" s="47" t="s">
        <v>0</v>
      </c>
      <c r="F5" s="47" t="s">
        <v>1</v>
      </c>
      <c r="G5" s="47" t="s">
        <v>2</v>
      </c>
      <c r="H5" s="47" t="s">
        <v>5</v>
      </c>
      <c r="I5" s="47" t="s">
        <v>98</v>
      </c>
      <c r="J5" s="47" t="s">
        <v>0</v>
      </c>
      <c r="K5" s="47" t="s">
        <v>1</v>
      </c>
      <c r="L5" s="47" t="s">
        <v>2</v>
      </c>
      <c r="M5" s="47" t="s">
        <v>5</v>
      </c>
      <c r="N5" s="47" t="s">
        <v>98</v>
      </c>
      <c r="O5" s="47" t="s">
        <v>0</v>
      </c>
      <c r="P5" s="47" t="s">
        <v>1</v>
      </c>
      <c r="Q5" s="47" t="s">
        <v>2</v>
      </c>
      <c r="R5" s="47" t="s">
        <v>5</v>
      </c>
      <c r="S5" s="47" t="s">
        <v>98</v>
      </c>
      <c r="T5" s="47" t="s">
        <v>0</v>
      </c>
      <c r="U5" s="47" t="s">
        <v>1</v>
      </c>
      <c r="V5" s="47" t="s">
        <v>2</v>
      </c>
      <c r="W5" s="47" t="s">
        <v>5</v>
      </c>
      <c r="X5" s="47" t="s">
        <v>98</v>
      </c>
    </row>
    <row r="6" spans="1:24">
      <c r="A6" s="58" t="s">
        <v>185</v>
      </c>
      <c r="B6" s="47">
        <v>2013</v>
      </c>
      <c r="C6" s="47">
        <v>2013</v>
      </c>
      <c r="D6" s="47">
        <v>2014</v>
      </c>
      <c r="E6" s="47">
        <v>2014</v>
      </c>
      <c r="F6" s="47">
        <v>2014</v>
      </c>
      <c r="G6" s="47">
        <v>2014</v>
      </c>
      <c r="H6" s="47">
        <v>2014</v>
      </c>
      <c r="I6" s="47">
        <v>2015</v>
      </c>
      <c r="J6" s="47">
        <v>2015</v>
      </c>
      <c r="K6" s="47">
        <v>2015</v>
      </c>
      <c r="L6" s="47">
        <v>2015</v>
      </c>
      <c r="M6" s="47">
        <v>2015</v>
      </c>
      <c r="N6" s="47">
        <v>2016</v>
      </c>
      <c r="O6" s="47">
        <v>2016</v>
      </c>
      <c r="P6" s="47">
        <v>2016</v>
      </c>
      <c r="Q6" s="47">
        <v>2016</v>
      </c>
      <c r="R6" s="47">
        <v>2016</v>
      </c>
      <c r="S6" s="47">
        <v>2017</v>
      </c>
      <c r="T6" s="47">
        <v>2017</v>
      </c>
      <c r="U6" s="47">
        <v>2017</v>
      </c>
      <c r="V6" s="47">
        <v>2017</v>
      </c>
      <c r="W6" s="47">
        <v>2017</v>
      </c>
      <c r="X6" s="47">
        <v>2018</v>
      </c>
    </row>
    <row r="7" spans="1:24" ht="6" customHeight="1">
      <c r="A7" s="44"/>
      <c r="B7" s="45"/>
      <c r="C7" s="45"/>
      <c r="D7" s="45"/>
      <c r="E7" s="45"/>
      <c r="F7" s="45"/>
      <c r="G7" s="45"/>
      <c r="H7" s="45"/>
      <c r="I7" s="45"/>
      <c r="J7" s="45"/>
      <c r="K7" s="45"/>
      <c r="L7" s="45"/>
      <c r="M7" s="45"/>
      <c r="N7" s="45"/>
      <c r="O7" s="45"/>
      <c r="P7" s="45"/>
      <c r="Q7" s="45"/>
      <c r="R7" s="45"/>
      <c r="S7" s="45"/>
      <c r="T7" s="45"/>
      <c r="U7" s="45"/>
      <c r="V7" s="45"/>
      <c r="W7" s="45"/>
      <c r="X7" s="45"/>
    </row>
    <row r="8" spans="1:24" ht="20.25">
      <c r="A8" s="35" t="s">
        <v>186</v>
      </c>
      <c r="B8" s="27"/>
      <c r="C8" s="27"/>
      <c r="D8" s="27"/>
      <c r="E8" s="27"/>
      <c r="F8" s="27"/>
      <c r="G8" s="27"/>
      <c r="H8" s="27"/>
      <c r="I8" s="27"/>
      <c r="J8" s="27"/>
      <c r="K8" s="27"/>
      <c r="L8" s="27"/>
      <c r="M8" s="27"/>
      <c r="N8" s="27"/>
      <c r="O8" s="27"/>
      <c r="P8" s="27"/>
      <c r="Q8" s="27"/>
      <c r="R8" s="27"/>
      <c r="S8" s="27"/>
      <c r="T8" s="27"/>
      <c r="U8" s="27"/>
      <c r="V8" s="27"/>
      <c r="W8" s="27"/>
      <c r="X8" s="27"/>
    </row>
    <row r="9" spans="1:24">
      <c r="A9" s="61"/>
      <c r="B9" s="62"/>
      <c r="C9" s="62"/>
      <c r="D9" s="62"/>
      <c r="E9" s="62"/>
      <c r="F9" s="62"/>
      <c r="G9" s="62"/>
      <c r="H9" s="62"/>
      <c r="I9" s="62"/>
      <c r="J9" s="62"/>
      <c r="K9" s="62"/>
      <c r="L9" s="62"/>
      <c r="M9" s="62"/>
      <c r="N9" s="62"/>
      <c r="O9" s="62"/>
      <c r="P9" s="62"/>
      <c r="Q9" s="62"/>
      <c r="R9" s="62"/>
      <c r="S9" s="62"/>
      <c r="T9" s="62"/>
      <c r="U9" s="62"/>
      <c r="V9" s="62"/>
      <c r="W9" s="62"/>
      <c r="X9" s="62"/>
    </row>
    <row r="10" spans="1:24">
      <c r="A10" s="40" t="s">
        <v>187</v>
      </c>
      <c r="B10" s="42"/>
      <c r="C10" s="42"/>
      <c r="D10" s="42"/>
      <c r="E10" s="42"/>
      <c r="F10" s="42"/>
      <c r="G10" s="42"/>
      <c r="H10" s="42"/>
      <c r="I10" s="42"/>
      <c r="J10" s="42"/>
      <c r="K10" s="42"/>
      <c r="L10" s="42"/>
      <c r="M10" s="42"/>
      <c r="N10" s="42"/>
      <c r="O10" s="42"/>
      <c r="P10" s="42"/>
      <c r="Q10" s="42"/>
      <c r="R10" s="42"/>
      <c r="S10" s="42"/>
      <c r="T10" s="42"/>
      <c r="U10" s="42"/>
      <c r="V10" s="42"/>
      <c r="W10" s="42"/>
      <c r="X10" s="42"/>
    </row>
    <row r="11" spans="1:24">
      <c r="C11" s="37"/>
      <c r="H11" s="37"/>
      <c r="M11" s="37"/>
      <c r="N11" s="34"/>
      <c r="R11" s="37"/>
      <c r="S11" s="34"/>
      <c r="T11" s="34"/>
      <c r="U11" s="34"/>
      <c r="W11" s="37"/>
      <c r="X11" s="34"/>
    </row>
    <row r="12" spans="1:24">
      <c r="A12" s="177" t="s">
        <v>263</v>
      </c>
      <c r="C12" s="63" t="s">
        <v>152</v>
      </c>
      <c r="D12" s="63" t="s">
        <v>152</v>
      </c>
      <c r="E12" s="63" t="s">
        <v>152</v>
      </c>
      <c r="F12" s="63" t="s">
        <v>152</v>
      </c>
      <c r="G12" s="63" t="s">
        <v>152</v>
      </c>
      <c r="H12" s="63" t="s">
        <v>152</v>
      </c>
      <c r="I12" s="63" t="s">
        <v>152</v>
      </c>
      <c r="J12" s="63" t="s">
        <v>152</v>
      </c>
      <c r="K12" s="63" t="s">
        <v>152</v>
      </c>
      <c r="L12" s="63" t="s">
        <v>152</v>
      </c>
      <c r="M12" s="63" t="s">
        <v>152</v>
      </c>
      <c r="N12" s="186" t="s">
        <v>152</v>
      </c>
      <c r="O12" s="186" t="s">
        <v>152</v>
      </c>
      <c r="P12" s="186" t="s">
        <v>152</v>
      </c>
      <c r="Q12" s="151" t="s">
        <v>152</v>
      </c>
      <c r="R12" s="63" t="s">
        <v>152</v>
      </c>
      <c r="S12" s="186" t="s">
        <v>152</v>
      </c>
      <c r="T12" s="186" t="s">
        <v>152</v>
      </c>
      <c r="U12" s="186" t="s">
        <v>152</v>
      </c>
      <c r="V12" s="151">
        <v>87</v>
      </c>
      <c r="W12" s="37">
        <v>87</v>
      </c>
      <c r="X12" s="186" t="s">
        <v>152</v>
      </c>
    </row>
    <row r="13" spans="1:24">
      <c r="C13" s="37"/>
      <c r="H13" s="37"/>
      <c r="M13" s="37"/>
      <c r="N13" s="34"/>
      <c r="R13" s="37"/>
      <c r="S13" s="34"/>
      <c r="T13" s="34"/>
      <c r="U13" s="34"/>
      <c r="W13" s="37"/>
      <c r="X13" s="34"/>
    </row>
    <row r="14" spans="1:24" ht="13.15" customHeight="1">
      <c r="A14" s="177" t="s">
        <v>188</v>
      </c>
      <c r="B14" s="151" t="s">
        <v>152</v>
      </c>
      <c r="C14" s="153" t="s">
        <v>152</v>
      </c>
      <c r="D14" s="151" t="s">
        <v>152</v>
      </c>
      <c r="E14" s="151" t="s">
        <v>152</v>
      </c>
      <c r="F14" s="151" t="s">
        <v>152</v>
      </c>
      <c r="G14" s="151" t="s">
        <v>152</v>
      </c>
      <c r="H14" s="63" t="s">
        <v>152</v>
      </c>
      <c r="I14" s="151">
        <v>-12</v>
      </c>
      <c r="J14" s="151" t="s">
        <v>152</v>
      </c>
      <c r="K14" s="151" t="s">
        <v>152</v>
      </c>
      <c r="L14" s="151" t="s">
        <v>152</v>
      </c>
      <c r="M14" s="178">
        <v>-12</v>
      </c>
      <c r="N14" s="186" t="s">
        <v>152</v>
      </c>
      <c r="O14" s="186" t="s">
        <v>152</v>
      </c>
      <c r="P14" s="186" t="s">
        <v>152</v>
      </c>
      <c r="Q14" s="151" t="s">
        <v>152</v>
      </c>
      <c r="R14" s="63" t="s">
        <v>152</v>
      </c>
      <c r="S14" s="186" t="s">
        <v>152</v>
      </c>
      <c r="T14" s="186" t="s">
        <v>152</v>
      </c>
      <c r="U14" s="186" t="s">
        <v>152</v>
      </c>
      <c r="V14" s="151" t="s">
        <v>152</v>
      </c>
      <c r="W14" s="63" t="s">
        <v>152</v>
      </c>
      <c r="X14" s="186" t="s">
        <v>152</v>
      </c>
    </row>
    <row r="15" spans="1:24" ht="13.15" customHeight="1">
      <c r="C15" s="153"/>
      <c r="H15" s="37"/>
      <c r="M15" s="37"/>
      <c r="N15" s="34"/>
      <c r="O15" s="34"/>
      <c r="P15" s="34"/>
      <c r="R15" s="37"/>
      <c r="S15" s="34"/>
      <c r="T15" s="34"/>
      <c r="U15" s="34"/>
      <c r="W15" s="37"/>
      <c r="X15" s="34"/>
    </row>
    <row r="16" spans="1:24" ht="13.15" customHeight="1">
      <c r="A16" s="2" t="s">
        <v>189</v>
      </c>
      <c r="B16" s="151" t="s">
        <v>152</v>
      </c>
      <c r="C16" s="153" t="s">
        <v>152</v>
      </c>
      <c r="D16" s="151" t="s">
        <v>152</v>
      </c>
      <c r="E16" s="152">
        <v>-582</v>
      </c>
      <c r="F16" s="151" t="s">
        <v>152</v>
      </c>
      <c r="G16" s="151" t="s">
        <v>152</v>
      </c>
      <c r="H16" s="178">
        <v>-582</v>
      </c>
      <c r="I16" s="151" t="s">
        <v>152</v>
      </c>
      <c r="J16" s="151" t="s">
        <v>152</v>
      </c>
      <c r="K16" s="151" t="s">
        <v>152</v>
      </c>
      <c r="L16" s="151" t="s">
        <v>152</v>
      </c>
      <c r="M16" s="63" t="s">
        <v>152</v>
      </c>
      <c r="N16" s="186" t="s">
        <v>152</v>
      </c>
      <c r="O16" s="186" t="s">
        <v>152</v>
      </c>
      <c r="P16" s="186" t="s">
        <v>152</v>
      </c>
      <c r="Q16" s="151" t="s">
        <v>152</v>
      </c>
      <c r="R16" s="63" t="s">
        <v>152</v>
      </c>
      <c r="S16" s="186" t="s">
        <v>152</v>
      </c>
      <c r="T16" s="186" t="s">
        <v>152</v>
      </c>
      <c r="U16" s="186" t="s">
        <v>152</v>
      </c>
      <c r="V16" s="151" t="s">
        <v>152</v>
      </c>
      <c r="W16" s="63" t="s">
        <v>152</v>
      </c>
      <c r="X16" s="186" t="s">
        <v>152</v>
      </c>
    </row>
    <row r="17" spans="1:24" ht="13.15" customHeight="1">
      <c r="A17" s="71"/>
      <c r="B17" s="152"/>
      <c r="C17" s="178"/>
      <c r="D17" s="152"/>
      <c r="E17" s="152"/>
      <c r="F17" s="152"/>
      <c r="G17" s="152"/>
      <c r="H17" s="37"/>
      <c r="I17" s="151"/>
      <c r="J17" s="151"/>
      <c r="K17" s="151"/>
      <c r="L17" s="152"/>
      <c r="M17" s="37"/>
      <c r="N17" s="186"/>
      <c r="O17" s="186"/>
      <c r="P17" s="186"/>
      <c r="Q17" s="152"/>
      <c r="R17" s="37"/>
      <c r="S17" s="186"/>
      <c r="T17" s="186"/>
      <c r="U17" s="186"/>
      <c r="V17" s="152"/>
      <c r="W17" s="37"/>
      <c r="X17" s="186"/>
    </row>
    <row r="18" spans="1:24" ht="27" customHeight="1">
      <c r="A18" s="179" t="s">
        <v>190</v>
      </c>
      <c r="B18" s="152">
        <v>-29</v>
      </c>
      <c r="C18" s="178">
        <v>-120</v>
      </c>
      <c r="D18" s="152">
        <v>-12</v>
      </c>
      <c r="E18" s="152">
        <v>-102</v>
      </c>
      <c r="F18" s="151">
        <v>-27</v>
      </c>
      <c r="G18" s="152">
        <v>-26</v>
      </c>
      <c r="H18" s="178">
        <v>-167</v>
      </c>
      <c r="I18" s="151">
        <v>-11</v>
      </c>
      <c r="J18" s="151">
        <v>-148</v>
      </c>
      <c r="K18" s="151">
        <v>-13</v>
      </c>
      <c r="L18" s="152">
        <f>M18-SUM(I18:K18)</f>
        <v>-62</v>
      </c>
      <c r="M18" s="178">
        <v>-234</v>
      </c>
      <c r="N18" s="186">
        <v>-11</v>
      </c>
      <c r="O18" s="186">
        <v>-29</v>
      </c>
      <c r="P18" s="186">
        <v>-22</v>
      </c>
      <c r="Q18" s="152">
        <f>R18-P18-O18-N18</f>
        <v>-45</v>
      </c>
      <c r="R18" s="178">
        <v>-107</v>
      </c>
      <c r="S18" s="186">
        <v>-6</v>
      </c>
      <c r="T18" s="186">
        <v>-13</v>
      </c>
      <c r="U18" s="186">
        <v>-45</v>
      </c>
      <c r="V18" s="152">
        <f>W18-U18-T18-S18</f>
        <v>-2</v>
      </c>
      <c r="W18" s="178">
        <v>-66</v>
      </c>
      <c r="X18" s="186">
        <v>-1</v>
      </c>
    </row>
    <row r="19" spans="1:24" ht="13.15" customHeight="1">
      <c r="A19" s="71"/>
      <c r="B19" s="152"/>
      <c r="C19" s="178"/>
      <c r="D19" s="152"/>
      <c r="E19" s="152"/>
      <c r="F19" s="152"/>
      <c r="G19" s="152"/>
      <c r="H19" s="178"/>
      <c r="I19" s="151"/>
      <c r="J19" s="151"/>
      <c r="K19" s="151"/>
      <c r="L19" s="152"/>
      <c r="M19" s="178"/>
      <c r="N19" s="186"/>
      <c r="O19" s="186"/>
      <c r="P19" s="186"/>
      <c r="Q19" s="152"/>
      <c r="R19" s="178"/>
      <c r="S19" s="186"/>
      <c r="T19" s="186"/>
      <c r="U19" s="186"/>
      <c r="V19" s="152"/>
      <c r="W19" s="178"/>
      <c r="X19" s="186"/>
    </row>
    <row r="20" spans="1:24" ht="13.15" customHeight="1">
      <c r="A20" s="2" t="s">
        <v>191</v>
      </c>
      <c r="B20" s="152">
        <v>-7</v>
      </c>
      <c r="C20" s="178">
        <v>-47</v>
      </c>
      <c r="D20" s="152">
        <v>-5</v>
      </c>
      <c r="E20" s="151">
        <v>-2</v>
      </c>
      <c r="F20" s="151">
        <v>-1</v>
      </c>
      <c r="G20" s="151" t="s">
        <v>152</v>
      </c>
      <c r="H20" s="178">
        <v>-8</v>
      </c>
      <c r="I20" s="151" t="s">
        <v>152</v>
      </c>
      <c r="J20" s="151" t="s">
        <v>152</v>
      </c>
      <c r="K20" s="151" t="s">
        <v>152</v>
      </c>
      <c r="L20" s="151" t="s">
        <v>152</v>
      </c>
      <c r="M20" s="63" t="s">
        <v>152</v>
      </c>
      <c r="N20" s="186" t="s">
        <v>152</v>
      </c>
      <c r="O20" s="186" t="s">
        <v>152</v>
      </c>
      <c r="P20" s="186" t="s">
        <v>152</v>
      </c>
      <c r="Q20" s="151" t="s">
        <v>152</v>
      </c>
      <c r="R20" s="63" t="s">
        <v>152</v>
      </c>
      <c r="S20" s="186" t="s">
        <v>152</v>
      </c>
      <c r="T20" s="186" t="s">
        <v>152</v>
      </c>
      <c r="U20" s="186" t="s">
        <v>152</v>
      </c>
      <c r="V20" s="151" t="s">
        <v>152</v>
      </c>
      <c r="W20" s="63" t="s">
        <v>152</v>
      </c>
      <c r="X20" s="186" t="s">
        <v>152</v>
      </c>
    </row>
    <row r="21" spans="1:24" ht="13.15" customHeight="1">
      <c r="A21" s="71"/>
      <c r="B21" s="152"/>
      <c r="C21" s="178"/>
      <c r="D21" s="152"/>
      <c r="E21" s="152"/>
      <c r="F21" s="152"/>
      <c r="G21" s="152"/>
      <c r="H21" s="178"/>
      <c r="I21" s="152"/>
      <c r="J21" s="152"/>
      <c r="K21" s="152"/>
      <c r="L21" s="152"/>
      <c r="M21" s="178"/>
      <c r="N21" s="187"/>
      <c r="O21" s="187"/>
      <c r="P21" s="187"/>
      <c r="Q21" s="152"/>
      <c r="R21" s="178"/>
      <c r="S21" s="187"/>
      <c r="T21" s="187"/>
      <c r="U21" s="187"/>
      <c r="V21" s="152"/>
      <c r="W21" s="178"/>
      <c r="X21" s="187"/>
    </row>
    <row r="22" spans="1:24" ht="13.15" customHeight="1">
      <c r="A22" s="2" t="s">
        <v>192</v>
      </c>
      <c r="B22" s="152">
        <v>2</v>
      </c>
      <c r="C22" s="153" t="s">
        <v>152</v>
      </c>
      <c r="D22" s="151" t="s">
        <v>152</v>
      </c>
      <c r="E22" s="151" t="s">
        <v>152</v>
      </c>
      <c r="F22" s="151">
        <v>-5</v>
      </c>
      <c r="G22" s="152">
        <f>H22-F22</f>
        <v>-18</v>
      </c>
      <c r="H22" s="178">
        <v>-23</v>
      </c>
      <c r="I22" s="152">
        <v>6</v>
      </c>
      <c r="J22" s="152">
        <v>6</v>
      </c>
      <c r="K22" s="151" t="s">
        <v>152</v>
      </c>
      <c r="L22" s="152">
        <f>M22-SUM(I22:K22)</f>
        <v>22</v>
      </c>
      <c r="M22" s="178">
        <v>34</v>
      </c>
      <c r="N22" s="186" t="s">
        <v>152</v>
      </c>
      <c r="O22" s="186" t="s">
        <v>152</v>
      </c>
      <c r="P22" s="186" t="s">
        <v>152</v>
      </c>
      <c r="Q22" s="152"/>
      <c r="R22" s="178"/>
      <c r="S22" s="186" t="s">
        <v>152</v>
      </c>
      <c r="T22" s="186" t="s">
        <v>152</v>
      </c>
      <c r="U22" s="186" t="s">
        <v>152</v>
      </c>
      <c r="V22" s="151" t="s">
        <v>152</v>
      </c>
      <c r="W22" s="178"/>
      <c r="X22" s="186" t="s">
        <v>152</v>
      </c>
    </row>
    <row r="23" spans="1:24" ht="13.15" customHeight="1">
      <c r="A23" s="71"/>
      <c r="B23" s="152"/>
      <c r="C23" s="178"/>
      <c r="D23" s="152"/>
      <c r="E23" s="152"/>
      <c r="F23" s="152"/>
      <c r="G23" s="152"/>
      <c r="H23" s="37"/>
      <c r="I23" s="152"/>
      <c r="J23" s="152"/>
      <c r="K23" s="152"/>
      <c r="L23" s="152"/>
      <c r="M23" s="37"/>
      <c r="N23" s="187"/>
      <c r="O23" s="187"/>
      <c r="P23" s="187"/>
      <c r="Q23" s="152"/>
      <c r="R23" s="37"/>
      <c r="S23" s="187"/>
      <c r="T23" s="187"/>
      <c r="U23" s="187"/>
      <c r="V23" s="152"/>
      <c r="W23" s="37"/>
      <c r="X23" s="187"/>
    </row>
    <row r="24" spans="1:24" ht="13.15" customHeight="1">
      <c r="A24" s="2" t="s">
        <v>193</v>
      </c>
      <c r="B24" s="152">
        <v>53</v>
      </c>
      <c r="C24" s="178">
        <v>90</v>
      </c>
      <c r="D24" s="152">
        <v>8</v>
      </c>
      <c r="E24" s="152">
        <v>117</v>
      </c>
      <c r="F24" s="152">
        <v>8</v>
      </c>
      <c r="G24" s="152">
        <v>43</v>
      </c>
      <c r="H24" s="63">
        <v>176</v>
      </c>
      <c r="I24" s="151" t="s">
        <v>152</v>
      </c>
      <c r="J24" s="151">
        <v>1</v>
      </c>
      <c r="K24" s="151" t="s">
        <v>152</v>
      </c>
      <c r="L24" s="152">
        <f>M24-SUM(I24:K24)</f>
        <v>116</v>
      </c>
      <c r="M24" s="178">
        <v>117</v>
      </c>
      <c r="N24" s="186">
        <v>1</v>
      </c>
      <c r="O24" s="186">
        <v>14</v>
      </c>
      <c r="P24" s="186">
        <v>3</v>
      </c>
      <c r="Q24" s="152">
        <f>R24-P24-O24-N24</f>
        <v>78</v>
      </c>
      <c r="R24" s="178">
        <v>96</v>
      </c>
      <c r="S24" s="186" t="s">
        <v>152</v>
      </c>
      <c r="T24" s="186" t="s">
        <v>152</v>
      </c>
      <c r="U24" s="186">
        <v>3</v>
      </c>
      <c r="V24" s="152">
        <f>W24-U24</f>
        <v>20</v>
      </c>
      <c r="W24" s="178">
        <v>23</v>
      </c>
      <c r="X24" s="186">
        <v>12</v>
      </c>
    </row>
    <row r="25" spans="1:24" ht="13.15" customHeight="1">
      <c r="A25" s="71"/>
      <c r="B25" s="152"/>
      <c r="C25" s="178"/>
      <c r="D25" s="152"/>
      <c r="E25" s="152"/>
      <c r="F25" s="152"/>
      <c r="G25" s="152"/>
      <c r="H25" s="37"/>
      <c r="I25" s="152"/>
      <c r="J25" s="152"/>
      <c r="K25" s="152"/>
      <c r="L25" s="152"/>
      <c r="M25" s="37"/>
      <c r="N25" s="187"/>
      <c r="O25" s="187"/>
      <c r="P25" s="187"/>
      <c r="Q25" s="152"/>
      <c r="R25" s="37"/>
      <c r="S25" s="187"/>
      <c r="T25" s="187"/>
      <c r="U25" s="187"/>
      <c r="V25" s="152"/>
      <c r="W25" s="37"/>
      <c r="X25" s="187"/>
    </row>
    <row r="26" spans="1:24" ht="13.15" customHeight="1">
      <c r="A26" s="179" t="s">
        <v>194</v>
      </c>
      <c r="B26" s="152">
        <v>61</v>
      </c>
      <c r="C26" s="178">
        <v>61</v>
      </c>
      <c r="D26" s="151" t="s">
        <v>152</v>
      </c>
      <c r="E26" s="151" t="s">
        <v>152</v>
      </c>
      <c r="F26" s="151" t="s">
        <v>152</v>
      </c>
      <c r="G26" s="152">
        <v>18</v>
      </c>
      <c r="H26" s="178">
        <v>18</v>
      </c>
      <c r="I26" s="151" t="s">
        <v>152</v>
      </c>
      <c r="J26" s="151" t="s">
        <v>152</v>
      </c>
      <c r="K26" s="151" t="s">
        <v>152</v>
      </c>
      <c r="L26" s="151" t="s">
        <v>152</v>
      </c>
      <c r="M26" s="63" t="s">
        <v>152</v>
      </c>
      <c r="N26" s="186" t="s">
        <v>152</v>
      </c>
      <c r="O26" s="186" t="s">
        <v>152</v>
      </c>
      <c r="P26" s="186" t="s">
        <v>152</v>
      </c>
      <c r="Q26" s="151" t="s">
        <v>152</v>
      </c>
      <c r="R26" s="63" t="s">
        <v>152</v>
      </c>
      <c r="S26" s="186" t="s">
        <v>152</v>
      </c>
      <c r="T26" s="186" t="s">
        <v>152</v>
      </c>
      <c r="U26" s="186" t="s">
        <v>152</v>
      </c>
      <c r="V26" s="151" t="s">
        <v>152</v>
      </c>
      <c r="W26" s="63" t="s">
        <v>152</v>
      </c>
      <c r="X26" s="186" t="s">
        <v>152</v>
      </c>
    </row>
    <row r="27" spans="1:24" ht="13.15" customHeight="1">
      <c r="A27" s="71"/>
      <c r="B27" s="152"/>
      <c r="C27" s="178"/>
      <c r="D27" s="152"/>
      <c r="E27" s="152"/>
      <c r="F27" s="152"/>
      <c r="G27" s="152"/>
      <c r="H27" s="37"/>
      <c r="I27" s="152"/>
      <c r="J27" s="152"/>
      <c r="K27" s="152"/>
      <c r="L27" s="152"/>
      <c r="M27" s="37"/>
      <c r="N27" s="187"/>
      <c r="O27" s="187"/>
      <c r="P27" s="187"/>
      <c r="Q27" s="152"/>
      <c r="R27" s="37"/>
      <c r="S27" s="187"/>
      <c r="T27" s="187"/>
      <c r="U27" s="187"/>
      <c r="V27" s="152"/>
      <c r="W27" s="37"/>
      <c r="X27" s="187"/>
    </row>
    <row r="28" spans="1:24" ht="27" customHeight="1">
      <c r="A28" s="179" t="s">
        <v>195</v>
      </c>
      <c r="B28" s="151">
        <v>1</v>
      </c>
      <c r="C28" s="178">
        <v>1</v>
      </c>
      <c r="D28" s="151" t="s">
        <v>152</v>
      </c>
      <c r="E28" s="151" t="s">
        <v>152</v>
      </c>
      <c r="F28" s="151" t="s">
        <v>152</v>
      </c>
      <c r="G28" s="151" t="s">
        <v>152</v>
      </c>
      <c r="H28" s="63" t="s">
        <v>152</v>
      </c>
      <c r="I28" s="151" t="s">
        <v>152</v>
      </c>
      <c r="J28" s="151" t="s">
        <v>152</v>
      </c>
      <c r="K28" s="151" t="s">
        <v>152</v>
      </c>
      <c r="L28" s="151" t="s">
        <v>152</v>
      </c>
      <c r="M28" s="63" t="s">
        <v>152</v>
      </c>
      <c r="N28" s="186" t="s">
        <v>152</v>
      </c>
      <c r="O28" s="186" t="s">
        <v>152</v>
      </c>
      <c r="P28" s="186" t="s">
        <v>152</v>
      </c>
      <c r="Q28" s="151" t="s">
        <v>152</v>
      </c>
      <c r="R28" s="63" t="s">
        <v>152</v>
      </c>
      <c r="S28" s="186" t="s">
        <v>152</v>
      </c>
      <c r="T28" s="186" t="s">
        <v>152</v>
      </c>
      <c r="U28" s="186" t="s">
        <v>152</v>
      </c>
      <c r="V28" s="151" t="s">
        <v>152</v>
      </c>
      <c r="W28" s="63" t="s">
        <v>152</v>
      </c>
      <c r="X28" s="186" t="s">
        <v>152</v>
      </c>
    </row>
    <row r="29" spans="1:24" ht="13.15" customHeight="1">
      <c r="A29" s="71"/>
      <c r="B29" s="151"/>
      <c r="C29" s="178"/>
      <c r="D29" s="151"/>
      <c r="E29" s="151"/>
      <c r="F29" s="151"/>
      <c r="G29" s="151"/>
      <c r="H29" s="63"/>
      <c r="I29" s="151"/>
      <c r="J29" s="151"/>
      <c r="K29" s="151"/>
      <c r="L29" s="151"/>
      <c r="M29" s="63"/>
      <c r="N29" s="186"/>
      <c r="O29" s="186"/>
      <c r="P29" s="186"/>
      <c r="Q29" s="151"/>
      <c r="R29" s="63"/>
      <c r="S29" s="186"/>
      <c r="T29" s="186"/>
      <c r="U29" s="186"/>
      <c r="V29" s="151"/>
      <c r="W29" s="63"/>
      <c r="X29" s="186"/>
    </row>
    <row r="30" spans="1:24" ht="13.15" customHeight="1">
      <c r="A30" s="179" t="s">
        <v>196</v>
      </c>
      <c r="B30" s="151" t="s">
        <v>152</v>
      </c>
      <c r="C30" s="153" t="s">
        <v>152</v>
      </c>
      <c r="D30" s="152">
        <v>1</v>
      </c>
      <c r="E30" s="152">
        <v>1</v>
      </c>
      <c r="F30" s="151" t="s">
        <v>152</v>
      </c>
      <c r="G30" s="151">
        <v>-2</v>
      </c>
      <c r="H30" s="63" t="s">
        <v>152</v>
      </c>
      <c r="I30" s="151" t="s">
        <v>152</v>
      </c>
      <c r="J30" s="151" t="s">
        <v>152</v>
      </c>
      <c r="K30" s="151" t="s">
        <v>152</v>
      </c>
      <c r="L30" s="151" t="s">
        <v>152</v>
      </c>
      <c r="M30" s="63" t="s">
        <v>152</v>
      </c>
      <c r="N30" s="186">
        <v>15</v>
      </c>
      <c r="O30" s="186">
        <v>3</v>
      </c>
      <c r="P30" s="186">
        <v>-7</v>
      </c>
      <c r="Q30" s="151" t="s">
        <v>152</v>
      </c>
      <c r="R30" s="63">
        <v>11</v>
      </c>
      <c r="S30" s="186">
        <v>2</v>
      </c>
      <c r="T30" s="186">
        <v>12</v>
      </c>
      <c r="U30" s="186">
        <v>19</v>
      </c>
      <c r="V30" s="152">
        <f>W30-U30-T30-S30</f>
        <v>-9</v>
      </c>
      <c r="W30" s="63">
        <v>24</v>
      </c>
      <c r="X30" s="186">
        <v>12</v>
      </c>
    </row>
    <row r="31" spans="1:24" ht="13.15" customHeight="1">
      <c r="A31" s="180"/>
      <c r="B31" s="152"/>
      <c r="C31" s="178"/>
      <c r="D31" s="152"/>
      <c r="E31" s="152"/>
      <c r="F31" s="152"/>
      <c r="G31" s="152"/>
      <c r="H31" s="178"/>
      <c r="I31" s="152"/>
      <c r="J31" s="152"/>
      <c r="K31" s="152"/>
      <c r="L31" s="152"/>
      <c r="M31" s="178"/>
      <c r="N31" s="187"/>
      <c r="O31" s="187"/>
      <c r="P31" s="187"/>
      <c r="Q31" s="152"/>
      <c r="R31" s="178"/>
      <c r="S31" s="187"/>
      <c r="T31" s="187"/>
      <c r="U31" s="187"/>
      <c r="V31" s="152"/>
      <c r="W31" s="178"/>
      <c r="X31" s="187"/>
    </row>
    <row r="32" spans="1:24" ht="13.15" customHeight="1">
      <c r="A32" s="181" t="s">
        <v>197</v>
      </c>
      <c r="B32" s="182">
        <f t="shared" ref="B32:M32" si="0">SUM(B14:B30)</f>
        <v>81</v>
      </c>
      <c r="C32" s="183">
        <f t="shared" si="0"/>
        <v>-15</v>
      </c>
      <c r="D32" s="182">
        <f t="shared" si="0"/>
        <v>-8</v>
      </c>
      <c r="E32" s="182">
        <f t="shared" si="0"/>
        <v>-568</v>
      </c>
      <c r="F32" s="182">
        <f t="shared" si="0"/>
        <v>-25</v>
      </c>
      <c r="G32" s="182">
        <f t="shared" si="0"/>
        <v>15</v>
      </c>
      <c r="H32" s="183">
        <f t="shared" si="0"/>
        <v>-586</v>
      </c>
      <c r="I32" s="182">
        <f t="shared" si="0"/>
        <v>-17</v>
      </c>
      <c r="J32" s="182">
        <f t="shared" si="0"/>
        <v>-141</v>
      </c>
      <c r="K32" s="182">
        <f t="shared" si="0"/>
        <v>-13</v>
      </c>
      <c r="L32" s="182">
        <f t="shared" si="0"/>
        <v>76</v>
      </c>
      <c r="M32" s="183">
        <f t="shared" si="0"/>
        <v>-95</v>
      </c>
      <c r="N32" s="188">
        <f t="shared" ref="N32:O32" si="1">SUM(N14:N30)</f>
        <v>5</v>
      </c>
      <c r="O32" s="188">
        <f t="shared" si="1"/>
        <v>-12</v>
      </c>
      <c r="P32" s="188">
        <f t="shared" ref="P32" si="2">SUM(P14:P30)</f>
        <v>-26</v>
      </c>
      <c r="Q32" s="182">
        <f t="shared" ref="Q32:S32" si="3">SUM(Q14:Q30)</f>
        <v>33</v>
      </c>
      <c r="R32" s="183">
        <f t="shared" si="3"/>
        <v>0</v>
      </c>
      <c r="S32" s="188">
        <f t="shared" si="3"/>
        <v>-4</v>
      </c>
      <c r="T32" s="188">
        <f t="shared" ref="T32:U32" si="4">SUM(T14:T30)</f>
        <v>-1</v>
      </c>
      <c r="U32" s="188">
        <f t="shared" si="4"/>
        <v>-23</v>
      </c>
      <c r="V32" s="182">
        <f>SUM(V12:V30)</f>
        <v>96</v>
      </c>
      <c r="W32" s="183">
        <f>SUM(W12:W31)</f>
        <v>68</v>
      </c>
      <c r="X32" s="188">
        <f>SUM(X12:X30)</f>
        <v>23</v>
      </c>
    </row>
    <row r="33" spans="1:24" ht="6" customHeight="1">
      <c r="A33" s="46"/>
      <c r="B33" s="46"/>
      <c r="C33" s="46"/>
      <c r="D33" s="46"/>
      <c r="E33" s="46"/>
      <c r="F33" s="46"/>
      <c r="G33" s="46"/>
      <c r="H33" s="46"/>
      <c r="I33" s="46"/>
      <c r="J33" s="46"/>
      <c r="K33" s="46"/>
      <c r="L33" s="46"/>
      <c r="M33" s="46"/>
      <c r="N33" s="46"/>
      <c r="O33" s="46"/>
      <c r="P33" s="46"/>
      <c r="Q33" s="46"/>
      <c r="R33" s="46"/>
      <c r="S33" s="46"/>
      <c r="T33" s="46"/>
      <c r="U33" s="46"/>
      <c r="V33" s="46"/>
      <c r="W33" s="46"/>
      <c r="X33" s="46"/>
    </row>
    <row r="34" spans="1:24">
      <c r="A34" s="184" t="s">
        <v>198</v>
      </c>
      <c r="H34" s="185"/>
      <c r="M34" s="185"/>
      <c r="N34" s="34"/>
      <c r="R34" s="185"/>
      <c r="S34" s="34"/>
      <c r="T34" s="34"/>
      <c r="U34" s="34"/>
      <c r="W34" s="185"/>
    </row>
    <row r="35" spans="1:24">
      <c r="N35" s="34"/>
      <c r="X35" s="222"/>
    </row>
    <row r="187" spans="44:44">
      <c r="AR187">
        <v>59</v>
      </c>
    </row>
  </sheetData>
  <pageMargins left="0.39370078740157483" right="0.39370078740157483" top="0.74803149606299213" bottom="0.74803149606299213" header="0.31496062992125984" footer="0.19685039370078741"/>
  <pageSetup paperSize="9" scale="83" orientation="landscape" r:id="rId1"/>
  <headerFooter>
    <oddFooter xml:space="preserve">&amp;R&amp;P of &amp;N
Other  expenses (income), net
</oddFooter>
  </headerFooter>
  <drawing r:id="rId2"/>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GT424"/>
  <sheetViews>
    <sheetView showGridLines="0" tabSelected="1" zoomScaleNormal="100" zoomScalePageLayoutView="90" workbookViewId="0">
      <pane xSplit="1" ySplit="4" topLeftCell="G110" activePane="bottomRight" state="frozen"/>
      <selection activeCell="F17" sqref="F17"/>
      <selection pane="topRight" activeCell="F17" sqref="F17"/>
      <selection pane="bottomLeft" activeCell="F17" sqref="F17"/>
      <selection pane="bottomRight" activeCell="F17" sqref="F17"/>
    </sheetView>
  </sheetViews>
  <sheetFormatPr defaultColWidth="8.7109375" defaultRowHeight="12.75"/>
  <cols>
    <col min="1" max="1" width="43" customWidth="1"/>
    <col min="2" max="2" width="10.42578125" hidden="1" customWidth="1"/>
    <col min="3" max="6" width="10.42578125" style="1" hidden="1" customWidth="1"/>
    <col min="7" max="7" width="10.42578125" style="1" customWidth="1"/>
    <col min="8" max="10" width="9.42578125" style="1" hidden="1" customWidth="1"/>
    <col min="11" max="11" width="8.7109375" style="1" hidden="1" customWidth="1"/>
    <col min="12" max="12" width="8.28515625" style="1" customWidth="1"/>
    <col min="13" max="15" width="8.7109375" style="1" hidden="1" customWidth="1"/>
    <col min="16" max="16" width="8.28515625" style="1" hidden="1" customWidth="1"/>
    <col min="17" max="17" width="8.7109375" style="1" customWidth="1"/>
    <col min="18" max="18" width="8.7109375" style="1" hidden="1" customWidth="1"/>
    <col min="19" max="21" width="8.42578125" style="1" hidden="1" customWidth="1"/>
    <col min="22" max="22" width="8.7109375" style="1" customWidth="1"/>
    <col min="23" max="23" width="8.42578125" style="1" hidden="1" customWidth="1"/>
    <col min="24" max="24" width="8.7109375" style="1" hidden="1" customWidth="1"/>
    <col min="25" max="26" width="9.28515625" style="1" hidden="1" customWidth="1"/>
    <col min="27" max="27" width="9.28515625" style="1" customWidth="1"/>
    <col min="28" max="31" width="9.28515625" style="1" hidden="1" customWidth="1"/>
    <col min="32" max="32" width="9.28515625" style="1" customWidth="1"/>
    <col min="33" max="36" width="9.28515625" style="1" hidden="1" customWidth="1"/>
    <col min="37" max="37" width="9.28515625" style="1" customWidth="1"/>
    <col min="38" max="41" width="8.7109375" style="1" hidden="1" customWidth="1"/>
    <col min="42" max="60" width="8.7109375" style="1"/>
    <col min="61" max="16384" width="8.7109375" style="4"/>
  </cols>
  <sheetData>
    <row r="1" spans="1:202" ht="15.75">
      <c r="A1" s="30"/>
      <c r="B1" s="30"/>
      <c r="C1" s="67"/>
      <c r="D1" s="67"/>
      <c r="E1" s="67"/>
      <c r="F1" s="67"/>
      <c r="G1" s="67"/>
      <c r="H1" s="67"/>
      <c r="I1" s="67"/>
      <c r="J1" s="67"/>
      <c r="K1" s="67"/>
      <c r="L1" s="67"/>
      <c r="M1" s="67"/>
      <c r="N1" s="32"/>
      <c r="O1" s="32"/>
    </row>
    <row r="2" spans="1:202">
      <c r="A2" s="30"/>
      <c r="B2" s="30"/>
      <c r="C2" s="30"/>
      <c r="D2" s="30"/>
      <c r="E2" s="30"/>
      <c r="F2" s="30"/>
      <c r="G2" s="30"/>
      <c r="H2" s="30"/>
      <c r="I2" s="30"/>
      <c r="J2" s="30"/>
      <c r="K2" s="30"/>
      <c r="L2" s="30"/>
      <c r="M2" s="30"/>
      <c r="N2" s="32"/>
      <c r="O2" s="32"/>
    </row>
    <row r="3" spans="1:202">
      <c r="A3" s="31"/>
      <c r="B3" s="47" t="s">
        <v>5</v>
      </c>
      <c r="C3" s="47" t="s">
        <v>6</v>
      </c>
      <c r="D3" s="47" t="s">
        <v>0</v>
      </c>
      <c r="E3" s="47" t="s">
        <v>1</v>
      </c>
      <c r="F3" s="47" t="s">
        <v>2</v>
      </c>
      <c r="G3" s="47" t="s">
        <v>5</v>
      </c>
      <c r="H3" s="47" t="s">
        <v>6</v>
      </c>
      <c r="I3" s="47" t="s">
        <v>0</v>
      </c>
      <c r="J3" s="47" t="s">
        <v>1</v>
      </c>
      <c r="K3" s="47" t="s">
        <v>2</v>
      </c>
      <c r="L3" s="47" t="s">
        <v>5</v>
      </c>
      <c r="M3" s="47" t="s">
        <v>6</v>
      </c>
      <c r="N3" s="47" t="s">
        <v>57</v>
      </c>
      <c r="O3" s="47" t="s">
        <v>1</v>
      </c>
      <c r="P3" s="47" t="s">
        <v>2</v>
      </c>
      <c r="Q3" s="47" t="s">
        <v>5</v>
      </c>
      <c r="R3" s="47" t="s">
        <v>6</v>
      </c>
      <c r="S3" s="47" t="s">
        <v>0</v>
      </c>
      <c r="T3" s="47" t="s">
        <v>1</v>
      </c>
      <c r="U3" s="47" t="s">
        <v>2</v>
      </c>
      <c r="V3" s="47" t="s">
        <v>5</v>
      </c>
      <c r="W3" s="47" t="s">
        <v>6</v>
      </c>
      <c r="X3" s="47" t="s">
        <v>0</v>
      </c>
      <c r="Y3" s="47" t="s">
        <v>1</v>
      </c>
      <c r="Z3" s="47" t="s">
        <v>2</v>
      </c>
      <c r="AA3" s="47" t="s">
        <v>5</v>
      </c>
      <c r="AB3" s="47" t="s">
        <v>6</v>
      </c>
      <c r="AC3" s="47" t="s">
        <v>0</v>
      </c>
      <c r="AD3" s="47" t="s">
        <v>1</v>
      </c>
      <c r="AE3" s="47" t="s">
        <v>2</v>
      </c>
      <c r="AF3" s="47" t="s">
        <v>5</v>
      </c>
      <c r="AG3" s="47" t="s">
        <v>6</v>
      </c>
      <c r="AH3" s="47" t="s">
        <v>0</v>
      </c>
      <c r="AI3" s="47" t="s">
        <v>1</v>
      </c>
      <c r="AJ3" s="47" t="s">
        <v>2</v>
      </c>
      <c r="AK3" s="47" t="s">
        <v>5</v>
      </c>
      <c r="AL3" s="47" t="s">
        <v>6</v>
      </c>
      <c r="AM3" s="47" t="s">
        <v>0</v>
      </c>
      <c r="AN3" s="47" t="s">
        <v>1</v>
      </c>
      <c r="AO3" s="47" t="s">
        <v>2</v>
      </c>
      <c r="AP3" s="47" t="s">
        <v>5</v>
      </c>
      <c r="AQ3" s="47" t="s">
        <v>6</v>
      </c>
      <c r="AR3" s="47" t="s">
        <v>0</v>
      </c>
      <c r="AS3" s="47" t="s">
        <v>1</v>
      </c>
      <c r="AT3" s="47" t="s">
        <v>2</v>
      </c>
      <c r="AU3" s="47" t="s">
        <v>5</v>
      </c>
      <c r="AV3" s="47" t="s">
        <v>6</v>
      </c>
      <c r="AW3" s="47" t="s">
        <v>0</v>
      </c>
      <c r="AX3" s="47" t="s">
        <v>1</v>
      </c>
      <c r="AY3" s="47" t="s">
        <v>2</v>
      </c>
      <c r="AZ3" s="47" t="s">
        <v>5</v>
      </c>
      <c r="BA3" s="47" t="s">
        <v>6</v>
      </c>
    </row>
    <row r="4" spans="1:202">
      <c r="A4" s="48"/>
      <c r="B4" s="31">
        <v>2007</v>
      </c>
      <c r="C4" s="31">
        <v>2008</v>
      </c>
      <c r="D4" s="31">
        <v>2008</v>
      </c>
      <c r="E4" s="31">
        <v>2008</v>
      </c>
      <c r="F4" s="31">
        <v>2008</v>
      </c>
      <c r="G4" s="31">
        <v>2008</v>
      </c>
      <c r="H4" s="31">
        <v>2009</v>
      </c>
      <c r="I4" s="31">
        <v>2009</v>
      </c>
      <c r="J4" s="31">
        <v>2009</v>
      </c>
      <c r="K4" s="47">
        <v>2009</v>
      </c>
      <c r="L4" s="47">
        <v>2009</v>
      </c>
      <c r="M4" s="31">
        <v>2010</v>
      </c>
      <c r="N4" s="31">
        <v>2010</v>
      </c>
      <c r="O4" s="31">
        <v>2010</v>
      </c>
      <c r="P4" s="47">
        <v>2010</v>
      </c>
      <c r="Q4" s="47">
        <v>2010</v>
      </c>
      <c r="R4" s="31">
        <v>2011</v>
      </c>
      <c r="S4" s="31">
        <v>2011</v>
      </c>
      <c r="T4" s="31">
        <v>2011</v>
      </c>
      <c r="U4" s="47">
        <v>2011</v>
      </c>
      <c r="V4" s="47">
        <v>2011</v>
      </c>
      <c r="W4" s="31">
        <v>2012</v>
      </c>
      <c r="X4" s="31">
        <v>2012</v>
      </c>
      <c r="Y4" s="31">
        <v>2012</v>
      </c>
      <c r="Z4" s="47">
        <v>2012</v>
      </c>
      <c r="AA4" s="47">
        <v>2012</v>
      </c>
      <c r="AB4" s="31">
        <v>2013</v>
      </c>
      <c r="AC4" s="31">
        <v>2013</v>
      </c>
      <c r="AD4" s="31">
        <v>2013</v>
      </c>
      <c r="AE4" s="47">
        <v>2013</v>
      </c>
      <c r="AF4" s="47">
        <v>2013</v>
      </c>
      <c r="AG4" s="31">
        <v>2014</v>
      </c>
      <c r="AH4" s="31">
        <v>2014</v>
      </c>
      <c r="AI4" s="31">
        <v>2014</v>
      </c>
      <c r="AJ4" s="47">
        <v>2014</v>
      </c>
      <c r="AK4" s="47">
        <v>2014</v>
      </c>
      <c r="AL4" s="31">
        <v>2015</v>
      </c>
      <c r="AM4" s="31">
        <v>2015</v>
      </c>
      <c r="AN4" s="31">
        <v>2015</v>
      </c>
      <c r="AO4" s="47">
        <v>2015</v>
      </c>
      <c r="AP4" s="47">
        <v>2015</v>
      </c>
      <c r="AQ4" s="31">
        <v>2016</v>
      </c>
      <c r="AR4" s="31">
        <v>2016</v>
      </c>
      <c r="AS4" s="31">
        <v>2016</v>
      </c>
      <c r="AT4" s="47">
        <v>2016</v>
      </c>
      <c r="AU4" s="47">
        <v>2016</v>
      </c>
      <c r="AV4" s="31">
        <v>2017</v>
      </c>
      <c r="AW4" s="31">
        <v>2017</v>
      </c>
      <c r="AX4" s="31">
        <v>2017</v>
      </c>
      <c r="AY4" s="47">
        <v>2017</v>
      </c>
      <c r="AZ4" s="47">
        <v>2017</v>
      </c>
      <c r="BA4" s="31">
        <v>2018</v>
      </c>
    </row>
    <row r="5" spans="1:202" s="46" customFormat="1" ht="6.75" customHeight="1">
      <c r="A5" s="44"/>
      <c r="B5" s="44"/>
      <c r="K5" s="45"/>
      <c r="L5" s="45"/>
      <c r="P5" s="45"/>
      <c r="Q5" s="45"/>
      <c r="U5" s="45"/>
      <c r="V5" s="45"/>
      <c r="Z5" s="45"/>
      <c r="AA5" s="45"/>
      <c r="AE5" s="45"/>
      <c r="AF5" s="45"/>
      <c r="AJ5" s="45"/>
      <c r="AK5" s="45"/>
      <c r="AO5" s="45"/>
      <c r="AP5" s="45"/>
      <c r="AT5" s="45"/>
      <c r="AU5" s="45"/>
      <c r="AY5" s="45"/>
      <c r="AZ5" s="45"/>
      <c r="BB5" s="25"/>
      <c r="BC5" s="25"/>
      <c r="BD5" s="25"/>
      <c r="BE5" s="25"/>
      <c r="BF5" s="25"/>
      <c r="BG5" s="25"/>
      <c r="BH5" s="25"/>
      <c r="BI5" s="25"/>
      <c r="BJ5" s="25"/>
      <c r="BK5" s="25"/>
      <c r="BL5" s="25"/>
      <c r="BM5" s="25"/>
      <c r="BN5" s="25"/>
      <c r="BO5" s="25"/>
      <c r="BP5" s="25"/>
      <c r="BQ5" s="25"/>
      <c r="BR5" s="25"/>
      <c r="BS5" s="25"/>
      <c r="BT5" s="25"/>
      <c r="BU5" s="25"/>
      <c r="BV5" s="25"/>
      <c r="BW5" s="25"/>
      <c r="BX5" s="25"/>
      <c r="BY5" s="25"/>
      <c r="BZ5" s="25"/>
      <c r="CA5" s="25"/>
      <c r="CB5" s="25"/>
      <c r="CC5" s="25"/>
      <c r="CD5" s="25"/>
      <c r="CE5" s="25"/>
      <c r="CF5" s="25"/>
      <c r="CG5" s="25"/>
      <c r="CH5" s="25"/>
      <c r="CI5" s="25"/>
      <c r="CJ5" s="25"/>
      <c r="CK5" s="25"/>
      <c r="CL5" s="25"/>
      <c r="CM5" s="25"/>
      <c r="CN5" s="25"/>
      <c r="CO5" s="25"/>
      <c r="CP5" s="25"/>
      <c r="CQ5" s="25"/>
      <c r="CR5" s="25"/>
      <c r="CS5" s="25"/>
      <c r="CT5" s="25"/>
      <c r="CU5" s="25"/>
      <c r="CV5" s="25"/>
      <c r="CW5" s="25"/>
      <c r="CX5" s="25"/>
      <c r="CY5" s="25"/>
      <c r="CZ5" s="25"/>
      <c r="DA5" s="25"/>
      <c r="DB5" s="25"/>
      <c r="DC5" s="25"/>
      <c r="DD5" s="25"/>
      <c r="DE5" s="25"/>
      <c r="DF5" s="25"/>
      <c r="DG5" s="25"/>
      <c r="DH5" s="25"/>
      <c r="DI5" s="25"/>
      <c r="DJ5" s="25"/>
      <c r="DK5" s="25"/>
      <c r="DL5" s="25"/>
      <c r="DM5" s="25"/>
      <c r="DN5" s="25"/>
      <c r="DO5" s="25"/>
      <c r="DP5" s="25"/>
      <c r="DQ5" s="25"/>
      <c r="DR5" s="25"/>
      <c r="DS5" s="25"/>
      <c r="DT5" s="25"/>
      <c r="DU5" s="25"/>
      <c r="DV5" s="25"/>
      <c r="DW5" s="25"/>
      <c r="DX5" s="25"/>
      <c r="DY5" s="25"/>
      <c r="DZ5" s="25"/>
      <c r="EA5" s="25"/>
      <c r="EB5" s="25"/>
      <c r="EC5" s="25"/>
      <c r="ED5" s="25"/>
      <c r="EE5" s="25"/>
      <c r="EF5" s="25"/>
      <c r="EG5" s="25"/>
      <c r="EH5" s="25"/>
      <c r="EI5" s="25"/>
      <c r="EJ5" s="25"/>
      <c r="EK5" s="25"/>
      <c r="EL5" s="25"/>
      <c r="EM5" s="25"/>
      <c r="EN5" s="25"/>
      <c r="EO5" s="25"/>
      <c r="EP5" s="25"/>
      <c r="EQ5" s="25"/>
      <c r="ER5" s="25"/>
      <c r="ES5" s="25"/>
      <c r="ET5" s="25"/>
      <c r="EU5" s="25"/>
      <c r="EV5" s="25"/>
      <c r="EW5" s="25"/>
      <c r="EX5" s="25"/>
      <c r="EY5" s="25"/>
      <c r="EZ5" s="25"/>
      <c r="FA5" s="25"/>
      <c r="FB5" s="25"/>
      <c r="FC5" s="25"/>
      <c r="FD5" s="25"/>
      <c r="FE5" s="25"/>
      <c r="FF5" s="25"/>
      <c r="FG5" s="25"/>
      <c r="FH5" s="25"/>
      <c r="FI5" s="25"/>
      <c r="FJ5" s="25"/>
      <c r="FK5" s="25"/>
      <c r="FL5" s="25"/>
      <c r="FM5" s="25"/>
      <c r="FN5" s="25"/>
      <c r="FO5" s="25"/>
      <c r="FP5" s="25"/>
      <c r="FQ5" s="25"/>
      <c r="FR5" s="25"/>
      <c r="FS5" s="25"/>
      <c r="FT5" s="25"/>
      <c r="FU5" s="25"/>
      <c r="FV5" s="25"/>
      <c r="FW5" s="25"/>
      <c r="FX5" s="25"/>
      <c r="FY5" s="25"/>
      <c r="FZ5" s="25"/>
      <c r="GA5" s="25"/>
      <c r="GB5" s="25"/>
      <c r="GC5" s="25"/>
      <c r="GD5" s="25"/>
      <c r="GE5" s="25"/>
      <c r="GF5" s="25"/>
      <c r="GG5" s="25"/>
      <c r="GH5" s="25"/>
      <c r="GI5" s="25"/>
      <c r="GJ5" s="25"/>
      <c r="GK5" s="25"/>
      <c r="GL5" s="25"/>
      <c r="GM5" s="25"/>
      <c r="GN5" s="25"/>
      <c r="GO5" s="25"/>
      <c r="GP5" s="25"/>
      <c r="GQ5" s="25"/>
      <c r="GR5" s="25"/>
      <c r="GS5" s="25"/>
      <c r="GT5" s="25"/>
    </row>
    <row r="6" spans="1:202" s="26" customFormat="1" ht="6" customHeight="1">
      <c r="A6" s="59"/>
      <c r="B6" s="59"/>
      <c r="C6" s="59"/>
      <c r="D6" s="59"/>
      <c r="E6" s="59"/>
      <c r="F6" s="59"/>
      <c r="G6" s="59"/>
      <c r="H6" s="59"/>
      <c r="I6" s="59"/>
      <c r="J6" s="59"/>
      <c r="K6" s="60"/>
      <c r="L6" s="60"/>
      <c r="M6" s="59"/>
      <c r="N6" s="59"/>
      <c r="O6" s="59"/>
      <c r="P6" s="60"/>
      <c r="Q6" s="60"/>
      <c r="R6" s="59"/>
      <c r="S6" s="59"/>
      <c r="T6" s="59"/>
      <c r="U6" s="59"/>
      <c r="V6" s="59"/>
      <c r="W6" s="59"/>
      <c r="X6" s="59"/>
      <c r="Y6" s="59"/>
      <c r="Z6" s="59"/>
      <c r="AA6" s="59"/>
      <c r="AB6" s="59"/>
      <c r="AC6" s="59"/>
      <c r="AD6" s="59"/>
      <c r="AE6" s="59"/>
      <c r="AF6" s="59"/>
      <c r="AG6" s="59"/>
      <c r="AH6" s="59"/>
      <c r="AI6" s="59"/>
      <c r="AJ6" s="59"/>
      <c r="AK6" s="59"/>
      <c r="AL6" s="59"/>
      <c r="AM6" s="59"/>
      <c r="AN6" s="59"/>
      <c r="AO6" s="59"/>
      <c r="AP6" s="59"/>
      <c r="AQ6" s="59"/>
      <c r="AR6" s="59"/>
      <c r="AS6" s="59"/>
      <c r="AT6" s="59"/>
      <c r="AU6" s="59"/>
      <c r="AV6" s="59"/>
      <c r="AW6" s="59"/>
      <c r="AX6" s="59"/>
      <c r="AY6" s="59"/>
      <c r="AZ6" s="59"/>
      <c r="BA6" s="59"/>
      <c r="BB6" s="25"/>
      <c r="BC6" s="25"/>
      <c r="BD6" s="25"/>
      <c r="BE6" s="25"/>
      <c r="BF6" s="25"/>
      <c r="BG6" s="25"/>
      <c r="BH6" s="25"/>
      <c r="BI6" s="25"/>
      <c r="BJ6" s="25"/>
      <c r="BK6" s="25"/>
      <c r="BL6" s="25"/>
      <c r="BM6" s="25"/>
      <c r="BN6" s="25"/>
      <c r="BO6" s="25"/>
      <c r="BP6" s="25"/>
      <c r="BQ6" s="25"/>
      <c r="BR6" s="25"/>
      <c r="BS6" s="25"/>
      <c r="BT6" s="25"/>
      <c r="BU6" s="25"/>
      <c r="BV6" s="25"/>
      <c r="BW6" s="25"/>
      <c r="BX6" s="25"/>
      <c r="BY6" s="25"/>
      <c r="BZ6" s="25"/>
      <c r="CA6" s="25"/>
      <c r="CB6" s="25"/>
      <c r="CC6" s="25"/>
      <c r="CD6" s="25"/>
      <c r="CE6" s="25"/>
      <c r="CF6" s="25"/>
      <c r="CG6" s="25"/>
      <c r="CH6" s="25"/>
      <c r="CI6" s="25"/>
      <c r="CJ6" s="25"/>
      <c r="CK6" s="25"/>
      <c r="CL6" s="25"/>
      <c r="CM6" s="25"/>
      <c r="CN6" s="25"/>
      <c r="CO6" s="25"/>
      <c r="CP6" s="25"/>
      <c r="CQ6" s="25"/>
      <c r="CR6" s="25"/>
      <c r="CS6" s="25"/>
      <c r="CT6" s="25"/>
      <c r="CU6" s="25"/>
      <c r="CV6" s="25"/>
      <c r="CW6" s="25"/>
      <c r="CX6" s="25"/>
      <c r="CY6" s="25"/>
      <c r="CZ6" s="25"/>
      <c r="DA6" s="25"/>
      <c r="DB6" s="25"/>
      <c r="DC6" s="25"/>
      <c r="DD6" s="25"/>
      <c r="DE6" s="25"/>
      <c r="DF6" s="25"/>
      <c r="DG6" s="25"/>
      <c r="DH6" s="25"/>
      <c r="DI6" s="25"/>
      <c r="DJ6" s="25"/>
      <c r="DK6" s="25"/>
      <c r="DL6" s="25"/>
      <c r="DM6" s="25"/>
      <c r="DN6" s="25"/>
      <c r="DO6" s="25"/>
      <c r="DP6" s="25"/>
      <c r="DQ6" s="25"/>
      <c r="DR6" s="25"/>
      <c r="DS6" s="25"/>
      <c r="DT6" s="25"/>
      <c r="DU6" s="25"/>
      <c r="DV6" s="25"/>
      <c r="DW6" s="25"/>
      <c r="DX6" s="25"/>
      <c r="DY6" s="25"/>
      <c r="DZ6" s="25"/>
      <c r="EA6" s="25"/>
      <c r="EB6" s="25"/>
      <c r="EC6" s="25"/>
      <c r="ED6" s="25"/>
      <c r="EE6" s="25"/>
      <c r="EF6" s="25"/>
      <c r="EG6" s="25"/>
      <c r="EH6" s="25"/>
      <c r="EI6" s="25"/>
      <c r="EJ6" s="25"/>
      <c r="EK6" s="25"/>
      <c r="EL6" s="25"/>
      <c r="EM6" s="25"/>
      <c r="EN6" s="25"/>
      <c r="EO6" s="25"/>
      <c r="EP6" s="25"/>
      <c r="EQ6" s="25"/>
      <c r="ER6" s="25"/>
      <c r="ES6" s="25"/>
      <c r="ET6" s="25"/>
      <c r="EU6" s="25"/>
      <c r="EV6" s="25"/>
      <c r="EW6" s="25"/>
      <c r="EX6" s="25"/>
      <c r="EY6" s="25"/>
      <c r="EZ6" s="25"/>
      <c r="FA6" s="25"/>
      <c r="FB6" s="25"/>
      <c r="FC6" s="25"/>
      <c r="FD6" s="25"/>
      <c r="FE6" s="25"/>
      <c r="FF6" s="25"/>
      <c r="FG6" s="25"/>
      <c r="FH6" s="25"/>
      <c r="FI6" s="25"/>
      <c r="FJ6" s="25"/>
      <c r="FK6" s="25"/>
      <c r="FL6" s="25"/>
      <c r="FM6" s="25"/>
      <c r="FN6" s="25"/>
      <c r="FO6" s="25"/>
      <c r="FP6" s="25"/>
      <c r="FQ6" s="25"/>
      <c r="FR6" s="25"/>
      <c r="FS6" s="25"/>
      <c r="FT6" s="25"/>
      <c r="FU6" s="25"/>
      <c r="FV6" s="25"/>
      <c r="FW6" s="25"/>
      <c r="FX6" s="25"/>
      <c r="FY6" s="25"/>
      <c r="FZ6" s="25"/>
      <c r="GA6" s="25"/>
      <c r="GB6" s="25"/>
      <c r="GC6" s="25"/>
      <c r="GD6" s="25"/>
      <c r="GE6" s="25"/>
      <c r="GF6" s="25"/>
      <c r="GG6" s="25"/>
      <c r="GH6" s="25"/>
      <c r="GI6" s="25"/>
      <c r="GJ6" s="25"/>
      <c r="GK6" s="25"/>
      <c r="GL6" s="25"/>
      <c r="GM6" s="25"/>
      <c r="GN6" s="25"/>
      <c r="GO6" s="25"/>
      <c r="GP6" s="25"/>
      <c r="GQ6" s="25"/>
      <c r="GR6" s="25"/>
      <c r="GS6" s="25"/>
      <c r="GT6" s="25"/>
    </row>
    <row r="7" spans="1:202" ht="18.600000000000001" customHeight="1">
      <c r="A7" s="35" t="s">
        <v>56</v>
      </c>
      <c r="B7" s="35"/>
      <c r="C7" s="21"/>
      <c r="D7" s="21"/>
      <c r="E7" s="21"/>
      <c r="F7" s="21"/>
      <c r="G7" s="21"/>
      <c r="H7" s="21"/>
      <c r="I7" s="21"/>
      <c r="J7" s="21"/>
      <c r="K7" s="27"/>
      <c r="L7" s="27"/>
      <c r="M7" s="21"/>
      <c r="N7" s="21"/>
      <c r="O7" s="21"/>
      <c r="P7" s="27"/>
      <c r="Q7" s="27"/>
      <c r="R7" s="21"/>
      <c r="S7" s="21"/>
      <c r="T7" s="21"/>
      <c r="U7" s="21"/>
      <c r="V7" s="21"/>
      <c r="W7" s="21"/>
      <c r="X7" s="21"/>
      <c r="Y7" s="21"/>
      <c r="Z7" s="21"/>
      <c r="AA7" s="21"/>
      <c r="AB7" s="21"/>
      <c r="AC7" s="21"/>
      <c r="AD7" s="21"/>
      <c r="AE7" s="21"/>
      <c r="AF7" s="21"/>
      <c r="AG7" s="21"/>
      <c r="AH7" s="21"/>
      <c r="AI7" s="21"/>
      <c r="AJ7" s="21"/>
      <c r="AK7" s="21"/>
      <c r="AL7" s="21"/>
      <c r="AM7" s="21"/>
      <c r="AN7" s="21"/>
      <c r="AO7" s="21"/>
      <c r="AP7" s="21"/>
      <c r="AQ7" s="21"/>
      <c r="AR7" s="21"/>
      <c r="AS7" s="21"/>
      <c r="AT7" s="21"/>
      <c r="AU7" s="21"/>
      <c r="AV7" s="21"/>
      <c r="AW7" s="21"/>
      <c r="AX7" s="21"/>
      <c r="AY7" s="21"/>
      <c r="AZ7" s="21"/>
      <c r="BA7" s="21"/>
      <c r="BB7" s="4"/>
      <c r="BC7" s="4"/>
      <c r="BD7" s="4"/>
      <c r="BE7" s="4"/>
      <c r="BF7" s="4"/>
      <c r="BG7" s="4"/>
      <c r="BH7" s="4"/>
    </row>
    <row r="8" spans="1:202" ht="5.0999999999999996" customHeight="1">
      <c r="A8" s="61"/>
      <c r="B8" s="61"/>
      <c r="C8" s="61"/>
      <c r="D8" s="61"/>
      <c r="E8" s="61"/>
      <c r="F8" s="61"/>
      <c r="G8" s="61"/>
      <c r="H8" s="61"/>
      <c r="I8" s="61"/>
      <c r="J8" s="61"/>
      <c r="K8" s="62"/>
      <c r="L8" s="62"/>
      <c r="M8" s="61"/>
      <c r="N8" s="61"/>
      <c r="O8" s="61"/>
      <c r="P8" s="62"/>
      <c r="Q8" s="62"/>
      <c r="R8" s="61"/>
      <c r="S8" s="61"/>
      <c r="T8" s="61"/>
      <c r="U8" s="61"/>
      <c r="V8" s="61"/>
      <c r="W8" s="61"/>
      <c r="X8" s="61"/>
      <c r="Y8" s="61"/>
      <c r="Z8" s="61"/>
      <c r="AA8" s="61"/>
      <c r="AB8" s="61"/>
      <c r="AC8" s="61"/>
      <c r="AD8" s="61"/>
      <c r="AE8" s="61"/>
      <c r="AF8" s="61"/>
      <c r="AG8" s="61"/>
      <c r="AH8" s="61"/>
      <c r="AI8" s="61"/>
      <c r="AJ8" s="61"/>
      <c r="AK8" s="61"/>
      <c r="AL8" s="61"/>
      <c r="AM8" s="61"/>
      <c r="AN8" s="61"/>
      <c r="AO8" s="61"/>
      <c r="AP8" s="61"/>
      <c r="AQ8" s="61"/>
      <c r="AR8" s="61"/>
      <c r="AS8" s="61"/>
      <c r="AT8" s="61"/>
      <c r="AU8" s="61"/>
      <c r="AV8" s="61"/>
      <c r="AW8" s="61"/>
      <c r="AX8" s="61"/>
      <c r="AY8" s="61"/>
      <c r="AZ8" s="61"/>
      <c r="BA8" s="61"/>
    </row>
    <row r="9" spans="1:202" s="43" customFormat="1">
      <c r="A9" s="40" t="s">
        <v>27</v>
      </c>
      <c r="B9" s="40"/>
      <c r="C9" s="42"/>
      <c r="D9" s="42"/>
      <c r="E9" s="42"/>
      <c r="F9" s="42"/>
      <c r="G9" s="42"/>
      <c r="H9" s="42"/>
      <c r="I9" s="42"/>
      <c r="J9" s="42"/>
      <c r="K9" s="42"/>
      <c r="L9" s="42"/>
      <c r="M9" s="42"/>
      <c r="N9" s="42"/>
      <c r="O9" s="42"/>
      <c r="P9" s="42"/>
      <c r="Q9" s="42"/>
      <c r="R9" s="42"/>
      <c r="S9" s="42"/>
      <c r="T9" s="42"/>
      <c r="U9" s="42"/>
      <c r="V9" s="42"/>
      <c r="W9" s="42"/>
      <c r="X9" s="42"/>
      <c r="Y9" s="42"/>
      <c r="Z9" s="42"/>
      <c r="AA9" s="42"/>
      <c r="AB9" s="42"/>
      <c r="AC9" s="42"/>
      <c r="AD9" s="42"/>
      <c r="AE9" s="42"/>
      <c r="AF9" s="42"/>
      <c r="AG9" s="42"/>
      <c r="AH9" s="42"/>
      <c r="AI9" s="42"/>
      <c r="AJ9" s="42"/>
      <c r="AK9" s="42"/>
      <c r="AL9" s="42"/>
      <c r="AM9" s="42"/>
      <c r="AN9" s="42"/>
      <c r="AO9" s="42"/>
      <c r="AP9" s="42"/>
      <c r="AQ9" s="42"/>
      <c r="AR9" s="42"/>
      <c r="AS9" s="42"/>
      <c r="AT9" s="42"/>
      <c r="AU9" s="42"/>
      <c r="AV9" s="42"/>
      <c r="AW9" s="42"/>
      <c r="AX9" s="42"/>
      <c r="AY9" s="42"/>
      <c r="AZ9" s="42"/>
      <c r="BA9" s="42"/>
      <c r="BB9" s="1"/>
      <c r="BC9" s="1"/>
      <c r="BD9" s="1"/>
      <c r="BE9" s="1"/>
      <c r="BF9" s="1"/>
      <c r="BG9" s="1"/>
      <c r="BH9" s="1"/>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4"/>
      <c r="DG9" s="4"/>
      <c r="DH9" s="4"/>
      <c r="DI9" s="4"/>
      <c r="DJ9" s="4"/>
      <c r="DK9" s="4"/>
      <c r="DL9" s="4"/>
      <c r="DM9" s="4"/>
      <c r="DN9" s="4"/>
      <c r="DO9" s="4"/>
      <c r="DP9" s="4"/>
      <c r="DQ9" s="4"/>
      <c r="DR9" s="4"/>
      <c r="DS9" s="4"/>
      <c r="DT9" s="4"/>
      <c r="DU9" s="4"/>
      <c r="DV9" s="4"/>
      <c r="DW9" s="4"/>
      <c r="DX9" s="4"/>
      <c r="DY9" s="4"/>
      <c r="DZ9" s="4"/>
      <c r="EA9" s="4"/>
      <c r="EB9" s="4"/>
      <c r="EC9" s="4"/>
      <c r="ED9" s="4"/>
      <c r="EE9" s="4"/>
      <c r="EF9" s="4"/>
      <c r="EG9" s="4"/>
      <c r="EH9" s="4"/>
      <c r="EI9" s="4"/>
      <c r="EJ9" s="4"/>
      <c r="EK9" s="4"/>
      <c r="EL9" s="4"/>
      <c r="EM9" s="4"/>
      <c r="EN9" s="4"/>
      <c r="EO9" s="4"/>
      <c r="EP9" s="4"/>
      <c r="EQ9" s="4"/>
      <c r="ER9" s="4"/>
      <c r="ES9" s="4"/>
      <c r="ET9" s="4"/>
      <c r="EU9" s="4"/>
      <c r="EV9" s="4"/>
      <c r="EW9" s="4"/>
      <c r="EX9" s="4"/>
      <c r="EY9" s="4"/>
      <c r="EZ9" s="4"/>
      <c r="FA9" s="4"/>
      <c r="FB9" s="4"/>
      <c r="FC9" s="4"/>
      <c r="FD9" s="4"/>
      <c r="FE9" s="4"/>
      <c r="FF9" s="4"/>
      <c r="FG9" s="4"/>
      <c r="FH9" s="4"/>
      <c r="FI9" s="4"/>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row>
    <row r="10" spans="1:202">
      <c r="A10" s="86"/>
      <c r="B10" s="24"/>
      <c r="C10" s="87"/>
      <c r="D10" s="87"/>
      <c r="E10" s="87"/>
      <c r="F10" s="87"/>
      <c r="G10" s="22"/>
      <c r="H10" s="87"/>
      <c r="I10" s="87"/>
      <c r="J10" s="87"/>
      <c r="L10" s="24"/>
      <c r="M10" s="87"/>
      <c r="N10" s="87"/>
      <c r="O10" s="87"/>
      <c r="Q10" s="24"/>
      <c r="R10" s="87"/>
      <c r="S10" s="87"/>
      <c r="T10" s="87"/>
      <c r="V10" s="27"/>
      <c r="W10" s="87"/>
      <c r="X10" s="87"/>
      <c r="Y10" s="87"/>
      <c r="AA10" s="27"/>
      <c r="AB10" s="87"/>
      <c r="AC10" s="87"/>
      <c r="AD10" s="87"/>
      <c r="AF10" s="27"/>
      <c r="AG10" s="87"/>
      <c r="AH10" s="87"/>
      <c r="AI10" s="87"/>
      <c r="AK10" s="27"/>
      <c r="AL10" s="87"/>
      <c r="AM10" s="87"/>
      <c r="AN10" s="87"/>
      <c r="AP10" s="27"/>
      <c r="AQ10" s="87"/>
      <c r="AR10" s="87"/>
      <c r="AS10" s="87"/>
      <c r="AU10" s="27"/>
      <c r="AV10" s="87"/>
      <c r="AW10" s="87"/>
      <c r="AX10" s="87"/>
      <c r="AZ10" s="27"/>
      <c r="BA10" s="87"/>
    </row>
    <row r="11" spans="1:202">
      <c r="A11" s="69" t="s">
        <v>82</v>
      </c>
      <c r="B11" s="37">
        <v>14711</v>
      </c>
      <c r="C11" s="70">
        <v>3473</v>
      </c>
      <c r="D11" s="70">
        <v>3306</v>
      </c>
      <c r="E11" s="70">
        <v>3379</v>
      </c>
      <c r="F11" s="70">
        <v>3103</v>
      </c>
      <c r="G11" s="37">
        <v>13260</v>
      </c>
      <c r="H11" s="70">
        <v>3077</v>
      </c>
      <c r="I11" s="70">
        <v>2972</v>
      </c>
      <c r="J11" s="70">
        <v>3051</v>
      </c>
      <c r="K11" s="70">
        <v>2917</v>
      </c>
      <c r="L11" s="37">
        <v>12017</v>
      </c>
      <c r="M11" s="70">
        <v>2732</v>
      </c>
      <c r="N11" s="70">
        <v>2717</v>
      </c>
      <c r="O11" s="70">
        <v>2629</v>
      </c>
      <c r="P11" s="70">
        <v>2621</v>
      </c>
      <c r="Q11" s="37">
        <v>10699</v>
      </c>
      <c r="R11" s="70">
        <v>2521</v>
      </c>
      <c r="S11" s="70">
        <v>2415</v>
      </c>
      <c r="T11" s="70">
        <v>2482</v>
      </c>
      <c r="U11" s="70">
        <v>2339</v>
      </c>
      <c r="V11" s="37">
        <v>9758</v>
      </c>
      <c r="W11" s="70">
        <v>2360</v>
      </c>
      <c r="X11" s="70">
        <v>2228</v>
      </c>
      <c r="Y11" s="70">
        <v>2127</v>
      </c>
      <c r="Z11" s="70">
        <v>1979</v>
      </c>
      <c r="AA11" s="37">
        <v>8694</v>
      </c>
      <c r="AB11" s="70">
        <v>1788</v>
      </c>
      <c r="AC11" s="70">
        <v>1805</v>
      </c>
      <c r="AD11" s="70">
        <v>1712</v>
      </c>
      <c r="AE11" s="70">
        <v>1742</v>
      </c>
      <c r="AF11" s="37">
        <v>7047</v>
      </c>
      <c r="AG11" s="70">
        <v>1608</v>
      </c>
      <c r="AH11" s="70">
        <v>1522</v>
      </c>
      <c r="AI11" s="70">
        <v>1588</v>
      </c>
      <c r="AJ11" s="70">
        <v>1482</v>
      </c>
      <c r="AK11" s="37">
        <v>6200</v>
      </c>
      <c r="AL11" s="70">
        <v>1459</v>
      </c>
      <c r="AM11" s="70">
        <v>1396</v>
      </c>
      <c r="AN11" s="70">
        <v>1373</v>
      </c>
      <c r="AO11" s="70">
        <v>1379</v>
      </c>
      <c r="AP11" s="37">
        <v>5607</v>
      </c>
      <c r="AQ11" s="70">
        <v>1316</v>
      </c>
      <c r="AR11" s="70">
        <v>1257</v>
      </c>
      <c r="AS11" s="70">
        <v>1297</v>
      </c>
      <c r="AT11" s="70">
        <v>1136</v>
      </c>
      <c r="AU11" s="37">
        <v>5006</v>
      </c>
      <c r="AV11" s="70">
        <v>1177</v>
      </c>
      <c r="AW11" s="70">
        <v>1098</v>
      </c>
      <c r="AX11" s="70">
        <v>1132</v>
      </c>
      <c r="AY11" s="70">
        <v>1068</v>
      </c>
      <c r="AZ11" s="37">
        <v>4475</v>
      </c>
      <c r="BA11" s="70">
        <v>1055</v>
      </c>
    </row>
    <row r="12" spans="1:202">
      <c r="A12" s="71" t="s">
        <v>7</v>
      </c>
      <c r="B12" s="24"/>
      <c r="C12" s="72"/>
      <c r="D12" s="72">
        <f>D11/C11-1</f>
        <v>-4.8085228908724464E-2</v>
      </c>
      <c r="E12" s="72">
        <f>E11/D11-1</f>
        <v>2.2081064730792521E-2</v>
      </c>
      <c r="F12" s="72">
        <f>F11/E11-1</f>
        <v>-8.1680970701390909E-2</v>
      </c>
      <c r="G12" s="24"/>
      <c r="H12" s="72">
        <v>-8.3789880760554158E-3</v>
      </c>
      <c r="I12" s="72">
        <v>-3.412414689632759E-2</v>
      </c>
      <c r="J12" s="72">
        <v>2.6581426648721429E-2</v>
      </c>
      <c r="K12" s="72">
        <v>-4.3920026220911179E-2</v>
      </c>
      <c r="L12" s="27"/>
      <c r="M12" s="72">
        <v>-6.3421323277339736E-2</v>
      </c>
      <c r="N12" s="72">
        <v>-5.4904831625183226E-3</v>
      </c>
      <c r="O12" s="72">
        <v>-3.2388663967611309E-2</v>
      </c>
      <c r="P12" s="72">
        <v>-3.042982122479998E-3</v>
      </c>
      <c r="Q12" s="27"/>
      <c r="R12" s="72">
        <v>-3.815337657382678E-2</v>
      </c>
      <c r="S12" s="72">
        <v>-4.2046806822689464E-2</v>
      </c>
      <c r="T12" s="72">
        <v>2.7743271221532195E-2</v>
      </c>
      <c r="U12" s="72">
        <v>-5.7614826752618864E-2</v>
      </c>
      <c r="V12" s="27"/>
      <c r="W12" s="72">
        <v>8.9781958101753379E-3</v>
      </c>
      <c r="X12" s="72">
        <v>-5.5932203389830515E-2</v>
      </c>
      <c r="Y12" s="72">
        <v>-4.5332136445242366E-2</v>
      </c>
      <c r="Z12" s="72">
        <v>-6.9581570286788907E-2</v>
      </c>
      <c r="AA12" s="27"/>
      <c r="AB12" s="72">
        <v>-9.6513390601313809E-2</v>
      </c>
      <c r="AC12" s="72">
        <v>9.5078299776285569E-3</v>
      </c>
      <c r="AD12" s="72">
        <v>-5.1523545706371188E-2</v>
      </c>
      <c r="AE12" s="72">
        <v>1.7523364485981352E-2</v>
      </c>
      <c r="AF12" s="27"/>
      <c r="AG12" s="72">
        <v>-7.6923076923076872E-2</v>
      </c>
      <c r="AH12" s="72">
        <v>-5.3482587064676568E-2</v>
      </c>
      <c r="AI12" s="72">
        <v>4.3363994743758294E-2</v>
      </c>
      <c r="AJ12" s="72">
        <v>-6.6750629722921895E-2</v>
      </c>
      <c r="AK12" s="27"/>
      <c r="AL12" s="72">
        <v>-1.5519568151147078E-2</v>
      </c>
      <c r="AM12" s="72">
        <v>-4.3180260452364672E-2</v>
      </c>
      <c r="AN12" s="72">
        <v>-1.6475644699140424E-2</v>
      </c>
      <c r="AO12" s="72">
        <v>4.3699927166787056E-3</v>
      </c>
      <c r="AP12" s="27"/>
      <c r="AQ12" s="72">
        <v>-4.5685279187817285E-2</v>
      </c>
      <c r="AR12" s="72">
        <v>-4.4832826747720378E-2</v>
      </c>
      <c r="AS12" s="72">
        <v>3.1821797931583129E-2</v>
      </c>
      <c r="AT12" s="72">
        <v>-0.12413261372397844</v>
      </c>
      <c r="AU12" s="27"/>
      <c r="AV12" s="72">
        <v>3.6091549295774739E-2</v>
      </c>
      <c r="AW12" s="72">
        <v>-6.7119796091758666E-2</v>
      </c>
      <c r="AX12" s="72">
        <v>3.0965391621129434E-2</v>
      </c>
      <c r="AY12" s="72">
        <v>-5.6537102473498191E-2</v>
      </c>
      <c r="AZ12" s="27"/>
      <c r="BA12" s="72">
        <v>-1.2172284644194731E-2</v>
      </c>
    </row>
    <row r="13" spans="1:202">
      <c r="A13" s="71" t="s">
        <v>8</v>
      </c>
      <c r="B13" s="24"/>
      <c r="C13" s="73"/>
      <c r="D13" s="73"/>
      <c r="E13" s="73"/>
      <c r="F13" s="73"/>
      <c r="G13" s="24">
        <v>-9.8633675480932603E-2</v>
      </c>
      <c r="H13" s="73">
        <v>-0.11402245896919094</v>
      </c>
      <c r="I13" s="73">
        <v>-0.10102843315184518</v>
      </c>
      <c r="J13" s="73">
        <v>-9.7070139094406649E-2</v>
      </c>
      <c r="K13" s="72">
        <v>-5.9941991621011881E-2</v>
      </c>
      <c r="L13" s="24">
        <v>-9.3740573152337858E-2</v>
      </c>
      <c r="M13" s="73">
        <v>-0.11212219694507641</v>
      </c>
      <c r="N13" s="73">
        <v>-8.5800807537012136E-2</v>
      </c>
      <c r="O13" s="73">
        <v>-0.13831530645689938</v>
      </c>
      <c r="P13" s="72">
        <v>-0.10147411724374356</v>
      </c>
      <c r="Q13" s="24">
        <v>-0.10967795622867604</v>
      </c>
      <c r="R13" s="73">
        <v>-7.7232796486090827E-2</v>
      </c>
      <c r="S13" s="73">
        <v>-0.11115200588884799</v>
      </c>
      <c r="T13" s="73">
        <v>-5.5914796500570518E-2</v>
      </c>
      <c r="U13" s="72">
        <v>-0.10759252193819158</v>
      </c>
      <c r="V13" s="24">
        <v>-8.7952145060286036E-2</v>
      </c>
      <c r="W13" s="73">
        <v>-6.3863546211820665E-2</v>
      </c>
      <c r="X13" s="73">
        <v>-7.7432712215320887E-2</v>
      </c>
      <c r="Y13" s="73">
        <v>-0.14302981466559228</v>
      </c>
      <c r="Z13" s="72">
        <v>-0.15391192817443355</v>
      </c>
      <c r="AA13" s="24">
        <v>-0.10903873744619796</v>
      </c>
      <c r="AB13" s="73">
        <v>-0.24237288135593216</v>
      </c>
      <c r="AC13" s="73">
        <v>-0.18985637342908435</v>
      </c>
      <c r="AD13" s="73">
        <v>-0.19511048425011757</v>
      </c>
      <c r="AE13" s="72">
        <v>-0.11975745325922182</v>
      </c>
      <c r="AF13" s="24">
        <v>-0.18944099378881984</v>
      </c>
      <c r="AG13" s="73">
        <v>-0.10067114093959728</v>
      </c>
      <c r="AH13" s="73">
        <v>-0.15678670360110802</v>
      </c>
      <c r="AI13" s="73">
        <v>-7.2429906542056055E-2</v>
      </c>
      <c r="AJ13" s="72">
        <v>-0.14925373134328357</v>
      </c>
      <c r="AK13" s="24">
        <v>-0.12019298992479066</v>
      </c>
      <c r="AL13" s="73">
        <v>-9.2661691542288538E-2</v>
      </c>
      <c r="AM13" s="73">
        <v>-8.2785808147174733E-2</v>
      </c>
      <c r="AN13" s="73">
        <v>-0.13539042821158687</v>
      </c>
      <c r="AO13" s="72">
        <v>-6.9500674763832704E-2</v>
      </c>
      <c r="AP13" s="24">
        <v>-9.5645161290322633E-2</v>
      </c>
      <c r="AQ13" s="73">
        <v>-9.8012337217272094E-2</v>
      </c>
      <c r="AR13" s="73">
        <v>-9.957020057306587E-2</v>
      </c>
      <c r="AS13" s="73">
        <v>-5.5353241077931492E-2</v>
      </c>
      <c r="AT13" s="72">
        <v>-0.17621464829586653</v>
      </c>
      <c r="AU13" s="24">
        <v>-0.10718744426609594</v>
      </c>
      <c r="AV13" s="73">
        <v>-0.10562310030395139</v>
      </c>
      <c r="AW13" s="73">
        <v>-0.12649164677804292</v>
      </c>
      <c r="AX13" s="73">
        <v>-0.1272166538164996</v>
      </c>
      <c r="AY13" s="72">
        <v>-5.9859154929577496E-2</v>
      </c>
      <c r="AZ13" s="24">
        <v>-0.10607271274470631</v>
      </c>
      <c r="BA13" s="73">
        <v>-0.10365335598980463</v>
      </c>
    </row>
    <row r="14" spans="1:202">
      <c r="A14" s="71"/>
      <c r="B14" s="24"/>
      <c r="C14" s="73"/>
      <c r="D14" s="73"/>
      <c r="E14" s="73"/>
      <c r="F14" s="73"/>
      <c r="G14" s="24"/>
      <c r="H14" s="73"/>
      <c r="I14" s="73"/>
      <c r="J14" s="73"/>
      <c r="K14" s="72"/>
      <c r="L14" s="24"/>
      <c r="M14" s="73"/>
      <c r="N14" s="73"/>
      <c r="O14" s="73"/>
      <c r="P14" s="72"/>
      <c r="Q14" s="24"/>
      <c r="R14" s="73"/>
      <c r="S14" s="73"/>
      <c r="T14" s="73"/>
      <c r="U14" s="72"/>
      <c r="V14" s="24"/>
      <c r="W14" s="73"/>
      <c r="X14" s="73"/>
      <c r="Y14" s="73"/>
      <c r="Z14" s="72"/>
      <c r="AA14" s="24"/>
      <c r="AB14" s="73"/>
      <c r="AC14" s="73"/>
      <c r="AD14" s="73"/>
      <c r="AE14" s="72"/>
      <c r="AF14" s="24"/>
      <c r="AG14" s="73"/>
      <c r="AH14" s="73"/>
      <c r="AI14" s="73"/>
      <c r="AJ14" s="72"/>
      <c r="AK14" s="24"/>
      <c r="AL14" s="73"/>
      <c r="AM14" s="73"/>
      <c r="AN14" s="73"/>
      <c r="AO14" s="72"/>
      <c r="AP14" s="24"/>
      <c r="AQ14" s="73"/>
      <c r="AR14" s="73"/>
      <c r="AS14" s="73"/>
      <c r="AT14" s="72"/>
      <c r="AU14" s="24"/>
      <c r="AV14" s="73"/>
      <c r="AW14" s="73"/>
      <c r="AX14" s="73"/>
      <c r="AY14" s="72"/>
      <c r="AZ14" s="24"/>
      <c r="BA14" s="73"/>
    </row>
    <row r="15" spans="1:202">
      <c r="A15" s="69" t="s">
        <v>48</v>
      </c>
      <c r="B15" s="38">
        <v>6411</v>
      </c>
      <c r="C15" s="88">
        <v>1673</v>
      </c>
      <c r="D15" s="88">
        <v>1651</v>
      </c>
      <c r="E15" s="88">
        <v>1719</v>
      </c>
      <c r="F15" s="70">
        <f>G15-E15-D15-C15</f>
        <v>1648</v>
      </c>
      <c r="G15" s="38">
        <v>6691</v>
      </c>
      <c r="H15" s="88">
        <v>1654</v>
      </c>
      <c r="I15" s="88">
        <v>1659</v>
      </c>
      <c r="J15" s="88">
        <v>1731</v>
      </c>
      <c r="K15" s="70">
        <v>1674</v>
      </c>
      <c r="L15" s="37">
        <v>6718</v>
      </c>
      <c r="M15" s="88">
        <v>1623</v>
      </c>
      <c r="N15" s="88">
        <v>1634</v>
      </c>
      <c r="O15" s="88">
        <v>1646</v>
      </c>
      <c r="P15" s="70">
        <v>1644</v>
      </c>
      <c r="Q15" s="37">
        <v>6547</v>
      </c>
      <c r="R15" s="88">
        <v>1577</v>
      </c>
      <c r="S15" s="88">
        <v>1535</v>
      </c>
      <c r="T15" s="88">
        <v>1602</v>
      </c>
      <c r="U15" s="70">
        <v>1526</v>
      </c>
      <c r="V15" s="37">
        <v>6240</v>
      </c>
      <c r="W15" s="88">
        <v>1543</v>
      </c>
      <c r="X15" s="88">
        <v>1516</v>
      </c>
      <c r="Y15" s="88">
        <v>1595</v>
      </c>
      <c r="Z15" s="70">
        <v>1571</v>
      </c>
      <c r="AA15" s="37">
        <v>6225</v>
      </c>
      <c r="AB15" s="88">
        <v>1503</v>
      </c>
      <c r="AC15" s="88">
        <v>1550</v>
      </c>
      <c r="AD15" s="88">
        <v>1521</v>
      </c>
      <c r="AE15" s="70">
        <v>1541</v>
      </c>
      <c r="AF15" s="37">
        <v>6115</v>
      </c>
      <c r="AG15" s="88">
        <v>1467</v>
      </c>
      <c r="AH15" s="88">
        <v>1424</v>
      </c>
      <c r="AI15" s="88">
        <v>1498</v>
      </c>
      <c r="AJ15" s="70">
        <v>1440</v>
      </c>
      <c r="AK15" s="37">
        <v>5829</v>
      </c>
      <c r="AL15" s="88">
        <v>1429</v>
      </c>
      <c r="AM15" s="88">
        <v>1386</v>
      </c>
      <c r="AN15" s="88">
        <v>1410</v>
      </c>
      <c r="AO15" s="70">
        <v>1403</v>
      </c>
      <c r="AP15" s="37">
        <v>5628</v>
      </c>
      <c r="AQ15" s="88">
        <v>1348</v>
      </c>
      <c r="AR15" s="88">
        <v>1314</v>
      </c>
      <c r="AS15" s="88">
        <v>1383</v>
      </c>
      <c r="AT15" s="70">
        <v>1252</v>
      </c>
      <c r="AU15" s="37">
        <v>5297</v>
      </c>
      <c r="AV15" s="88">
        <v>1281</v>
      </c>
      <c r="AW15" s="88">
        <v>1220</v>
      </c>
      <c r="AX15" s="88">
        <v>1266</v>
      </c>
      <c r="AY15" s="70">
        <v>1205</v>
      </c>
      <c r="AZ15" s="37">
        <v>4972</v>
      </c>
      <c r="BA15" s="88">
        <v>1191</v>
      </c>
    </row>
    <row r="16" spans="1:202">
      <c r="A16" s="71" t="s">
        <v>7</v>
      </c>
      <c r="B16" s="24"/>
      <c r="C16" s="72"/>
      <c r="D16" s="72">
        <f>D15/C15-1</f>
        <v>-1.3150029886431547E-2</v>
      </c>
      <c r="E16" s="72">
        <f>E15/D15-1</f>
        <v>4.1187159297395581E-2</v>
      </c>
      <c r="F16" s="72">
        <f>F15/E15-1</f>
        <v>-4.1303083187899992E-2</v>
      </c>
      <c r="G16" s="24"/>
      <c r="H16" s="72">
        <v>3.6407766990291801E-3</v>
      </c>
      <c r="I16" s="72">
        <v>3.0229746070133956E-3</v>
      </c>
      <c r="J16" s="72">
        <v>4.3399638336347302E-2</v>
      </c>
      <c r="K16" s="72">
        <v>-3.2928942807625705E-2</v>
      </c>
      <c r="L16" s="27"/>
      <c r="M16" s="72">
        <v>-3.046594982078854E-2</v>
      </c>
      <c r="N16" s="72">
        <v>6.7775723967959944E-3</v>
      </c>
      <c r="O16" s="72">
        <v>7.3439412484699318E-3</v>
      </c>
      <c r="P16" s="72">
        <v>-1.2150668286755595E-3</v>
      </c>
      <c r="Q16" s="27"/>
      <c r="R16" s="72">
        <v>-4.0754257907542613E-2</v>
      </c>
      <c r="S16" s="72">
        <v>-2.6632847178186481E-2</v>
      </c>
      <c r="T16" s="72">
        <v>4.3648208469055483E-2</v>
      </c>
      <c r="U16" s="72">
        <v>-4.7440699126092389E-2</v>
      </c>
      <c r="V16" s="27"/>
      <c r="W16" s="72">
        <v>1.1140235910878094E-2</v>
      </c>
      <c r="X16" s="72">
        <v>-1.7498379779650075E-2</v>
      </c>
      <c r="Y16" s="72">
        <v>5.2110817941952492E-2</v>
      </c>
      <c r="Z16" s="72">
        <v>-1.5047021943573657E-2</v>
      </c>
      <c r="AA16" s="27"/>
      <c r="AB16" s="72">
        <v>-4.3284532145130505E-2</v>
      </c>
      <c r="AC16" s="72">
        <v>3.1270791749833604E-2</v>
      </c>
      <c r="AD16" s="72">
        <v>-1.8709677419354809E-2</v>
      </c>
      <c r="AE16" s="72">
        <v>1.3149243918474607E-2</v>
      </c>
      <c r="AF16" s="27"/>
      <c r="AG16" s="72">
        <v>-4.8020765736534687E-2</v>
      </c>
      <c r="AH16" s="72">
        <v>-2.9311520109066125E-2</v>
      </c>
      <c r="AI16" s="72">
        <v>5.1966292134831393E-2</v>
      </c>
      <c r="AJ16" s="72">
        <v>-3.8718291054739673E-2</v>
      </c>
      <c r="AK16" s="27"/>
      <c r="AL16" s="72">
        <v>-7.6388888888888618E-3</v>
      </c>
      <c r="AM16" s="72">
        <v>-3.0090972708187502E-2</v>
      </c>
      <c r="AN16" s="72">
        <v>1.7316017316017396E-2</v>
      </c>
      <c r="AO16" s="72">
        <v>-4.9645390070921502E-3</v>
      </c>
      <c r="AP16" s="27"/>
      <c r="AQ16" s="72">
        <v>-3.9201710620099806E-2</v>
      </c>
      <c r="AR16" s="72">
        <v>-2.5222551928783421E-2</v>
      </c>
      <c r="AS16" s="72">
        <v>5.2511415525114069E-2</v>
      </c>
      <c r="AT16" s="72">
        <v>-9.4721619667389678E-2</v>
      </c>
      <c r="AU16" s="27"/>
      <c r="AV16" s="72">
        <v>2.3162939297124652E-2</v>
      </c>
      <c r="AW16" s="72">
        <v>-4.7619047619047672E-2</v>
      </c>
      <c r="AX16" s="72">
        <v>3.770491803278686E-2</v>
      </c>
      <c r="AY16" s="72">
        <v>-4.8183254344391746E-2</v>
      </c>
      <c r="AZ16" s="27"/>
      <c r="BA16" s="72">
        <v>-1.1618257261410747E-2</v>
      </c>
    </row>
    <row r="17" spans="1:53">
      <c r="A17" s="71" t="s">
        <v>8</v>
      </c>
      <c r="B17" s="24"/>
      <c r="C17" s="73"/>
      <c r="D17" s="73"/>
      <c r="E17" s="73"/>
      <c r="F17" s="73"/>
      <c r="G17" s="24">
        <v>4.3674933707689823E-2</v>
      </c>
      <c r="H17" s="73">
        <v>-1.1356843992827215E-2</v>
      </c>
      <c r="I17" s="73">
        <v>4.8455481526348265E-3</v>
      </c>
      <c r="J17" s="73">
        <v>6.9808027923210503E-3</v>
      </c>
      <c r="K17" s="72">
        <v>1.5776699029126151E-2</v>
      </c>
      <c r="L17" s="24">
        <v>4.0352712599014406E-3</v>
      </c>
      <c r="M17" s="73">
        <v>-1.8742442563482453E-2</v>
      </c>
      <c r="N17" s="73">
        <v>-1.5069318866787196E-2</v>
      </c>
      <c r="O17" s="73">
        <v>-4.9104563835932979E-2</v>
      </c>
      <c r="P17" s="72">
        <v>-1.7921146953404965E-2</v>
      </c>
      <c r="Q17" s="24">
        <v>-2.5454004167907107E-2</v>
      </c>
      <c r="R17" s="73">
        <v>-2.8342575477510734E-2</v>
      </c>
      <c r="S17" s="73">
        <v>-6.0587515299877603E-2</v>
      </c>
      <c r="T17" s="73">
        <v>-2.6731470230862753E-2</v>
      </c>
      <c r="U17" s="72">
        <v>-7.1776155717761525E-2</v>
      </c>
      <c r="V17" s="24">
        <v>-4.6891706124942756E-2</v>
      </c>
      <c r="W17" s="73">
        <v>-2.1559923906150913E-2</v>
      </c>
      <c r="X17" s="73">
        <v>-1.2377850162866411E-2</v>
      </c>
      <c r="Y17" s="73">
        <v>-4.3695380774032566E-3</v>
      </c>
      <c r="Z17" s="72">
        <v>2.9488859764089215E-2</v>
      </c>
      <c r="AA17" s="24">
        <v>-2.4038461538461453E-3</v>
      </c>
      <c r="AB17" s="73">
        <v>-2.5923525599481523E-2</v>
      </c>
      <c r="AC17" s="73">
        <v>2.2427440633245421E-2</v>
      </c>
      <c r="AD17" s="73">
        <v>-4.6394984326018851E-2</v>
      </c>
      <c r="AE17" s="72">
        <v>-1.9096117122851641E-2</v>
      </c>
      <c r="AF17" s="24">
        <v>-1.7670682730923648E-2</v>
      </c>
      <c r="AG17" s="73">
        <v>-2.39520958083832E-2</v>
      </c>
      <c r="AH17" s="73">
        <v>-8.1290322580645169E-2</v>
      </c>
      <c r="AI17" s="73">
        <v>-1.5121630506245931E-2</v>
      </c>
      <c r="AJ17" s="72">
        <v>-6.5541855937702787E-2</v>
      </c>
      <c r="AK17" s="24">
        <v>-4.6770237121831593E-2</v>
      </c>
      <c r="AL17" s="73">
        <v>-2.5903203817314258E-2</v>
      </c>
      <c r="AM17" s="73">
        <v>-2.6685393258427004E-2</v>
      </c>
      <c r="AN17" s="73">
        <v>-5.8744993324432615E-2</v>
      </c>
      <c r="AO17" s="72">
        <v>-2.5694444444444464E-2</v>
      </c>
      <c r="AP17" s="24">
        <v>-3.4482758620689613E-2</v>
      </c>
      <c r="AQ17" s="73">
        <v>-5.6682995101469569E-2</v>
      </c>
      <c r="AR17" s="73">
        <v>-5.1948051948051965E-2</v>
      </c>
      <c r="AS17" s="73">
        <v>-1.9148936170212738E-2</v>
      </c>
      <c r="AT17" s="72">
        <v>-0.10762651461154671</v>
      </c>
      <c r="AU17" s="24">
        <v>-5.8813077469793917E-2</v>
      </c>
      <c r="AV17" s="73">
        <v>-4.9703264094955513E-2</v>
      </c>
      <c r="AW17" s="73">
        <v>-7.1537290715372959E-2</v>
      </c>
      <c r="AX17" s="73">
        <v>-8.4598698481561874E-2</v>
      </c>
      <c r="AY17" s="72">
        <v>-3.7539936102236382E-2</v>
      </c>
      <c r="AZ17" s="24">
        <v>-6.1355484236360169E-2</v>
      </c>
      <c r="BA17" s="73">
        <v>-7.0257611241217766E-2</v>
      </c>
    </row>
    <row r="18" spans="1:53">
      <c r="A18" s="71"/>
      <c r="B18" s="24"/>
      <c r="C18" s="73"/>
      <c r="D18" s="73"/>
      <c r="E18" s="73"/>
      <c r="F18" s="73"/>
      <c r="G18" s="24"/>
      <c r="H18" s="73"/>
      <c r="I18" s="73"/>
      <c r="J18" s="73"/>
      <c r="K18" s="72"/>
      <c r="L18" s="24"/>
      <c r="M18" s="73"/>
      <c r="N18" s="73"/>
      <c r="O18" s="73"/>
      <c r="P18" s="72"/>
      <c r="Q18" s="24"/>
      <c r="R18" s="73"/>
      <c r="S18" s="73"/>
      <c r="T18" s="73"/>
      <c r="U18" s="72"/>
      <c r="V18" s="24"/>
      <c r="W18" s="73"/>
      <c r="X18" s="73"/>
      <c r="Y18" s="73"/>
      <c r="Z18" s="72"/>
      <c r="AA18" s="24"/>
      <c r="AB18" s="73"/>
      <c r="AC18" s="73"/>
      <c r="AD18" s="73"/>
      <c r="AE18" s="72"/>
      <c r="AF18" s="24"/>
      <c r="AG18" s="73"/>
      <c r="AH18" s="73"/>
      <c r="AI18" s="73"/>
      <c r="AJ18" s="72"/>
      <c r="AK18" s="24"/>
      <c r="AL18" s="73"/>
      <c r="AM18" s="73"/>
      <c r="AN18" s="73"/>
      <c r="AO18" s="72"/>
      <c r="AP18" s="24"/>
      <c r="AQ18" s="73"/>
      <c r="AR18" s="73"/>
      <c r="AS18" s="73"/>
      <c r="AT18" s="72"/>
      <c r="AU18" s="24"/>
      <c r="AV18" s="73"/>
      <c r="AW18" s="73"/>
      <c r="AX18" s="73"/>
      <c r="AY18" s="72"/>
      <c r="AZ18" s="24"/>
      <c r="BA18" s="73"/>
    </row>
    <row r="19" spans="1:53">
      <c r="A19" s="89" t="s">
        <v>83</v>
      </c>
      <c r="B19" s="38">
        <v>2749</v>
      </c>
      <c r="C19" s="76">
        <v>2701</v>
      </c>
      <c r="D19" s="76">
        <v>2670</v>
      </c>
      <c r="E19" s="76">
        <v>2634</v>
      </c>
      <c r="F19" s="76">
        <v>2604</v>
      </c>
      <c r="G19" s="38">
        <v>2604</v>
      </c>
      <c r="H19" s="76">
        <v>2571</v>
      </c>
      <c r="I19" s="76">
        <v>2540</v>
      </c>
      <c r="J19" s="76">
        <v>2513</v>
      </c>
      <c r="K19" s="70">
        <v>2483</v>
      </c>
      <c r="L19" s="37">
        <v>2483</v>
      </c>
      <c r="M19" s="76">
        <v>2454</v>
      </c>
      <c r="N19" s="76">
        <v>2422</v>
      </c>
      <c r="O19" s="76">
        <v>2394</v>
      </c>
      <c r="P19" s="70">
        <v>2366</v>
      </c>
      <c r="Q19" s="37">
        <v>2366</v>
      </c>
      <c r="R19" s="76">
        <v>2358</v>
      </c>
      <c r="S19" s="76">
        <v>2356</v>
      </c>
      <c r="T19" s="76">
        <v>2363</v>
      </c>
      <c r="U19" s="70">
        <v>2367</v>
      </c>
      <c r="V19" s="37">
        <v>2367</v>
      </c>
      <c r="W19" s="76">
        <v>2368</v>
      </c>
      <c r="X19" s="76">
        <v>2335</v>
      </c>
      <c r="Y19" s="76">
        <v>2299</v>
      </c>
      <c r="Z19" s="70">
        <v>2268</v>
      </c>
      <c r="AA19" s="37">
        <v>2268</v>
      </c>
      <c r="AB19" s="76">
        <v>2242</v>
      </c>
      <c r="AC19" s="76">
        <v>2224</v>
      </c>
      <c r="AD19" s="76">
        <v>2223</v>
      </c>
      <c r="AE19" s="70">
        <v>2216</v>
      </c>
      <c r="AF19" s="37">
        <v>2216</v>
      </c>
      <c r="AG19" s="76">
        <v>2214</v>
      </c>
      <c r="AH19" s="76">
        <v>2205</v>
      </c>
      <c r="AI19" s="76">
        <v>2205</v>
      </c>
      <c r="AJ19" s="70">
        <v>2205</v>
      </c>
      <c r="AK19" s="37">
        <v>2205</v>
      </c>
      <c r="AL19" s="76">
        <v>2125</v>
      </c>
      <c r="AM19" s="76">
        <v>2117</v>
      </c>
      <c r="AN19" s="76">
        <v>2103</v>
      </c>
      <c r="AO19" s="70">
        <v>2087</v>
      </c>
      <c r="AP19" s="37">
        <v>2087</v>
      </c>
      <c r="AQ19" s="76">
        <v>2068</v>
      </c>
      <c r="AR19" s="76">
        <v>2050</v>
      </c>
      <c r="AS19" s="76">
        <v>2031</v>
      </c>
      <c r="AT19" s="70">
        <v>2010</v>
      </c>
      <c r="AU19" s="37">
        <v>2010</v>
      </c>
      <c r="AV19" s="76">
        <v>1986</v>
      </c>
      <c r="AW19" s="76">
        <v>1961</v>
      </c>
      <c r="AX19" s="76">
        <v>1942</v>
      </c>
      <c r="AY19" s="70">
        <v>1916</v>
      </c>
      <c r="AZ19" s="37">
        <v>1916</v>
      </c>
      <c r="BA19" s="76">
        <v>1889</v>
      </c>
    </row>
    <row r="20" spans="1:53">
      <c r="A20" s="71" t="s">
        <v>7</v>
      </c>
      <c r="B20" s="24"/>
      <c r="C20" s="72"/>
      <c r="D20" s="72">
        <f>D19/C19-1</f>
        <v>-1.1477230655312809E-2</v>
      </c>
      <c r="E20" s="72">
        <f>E19/D19-1</f>
        <v>-1.3483146067415741E-2</v>
      </c>
      <c r="F20" s="72">
        <f>F19/E19-1</f>
        <v>-1.1389521640091105E-2</v>
      </c>
      <c r="G20" s="24"/>
      <c r="H20" s="72">
        <v>-1.2672811059907807E-2</v>
      </c>
      <c r="I20" s="72">
        <v>-1.2057565149747207E-2</v>
      </c>
      <c r="J20" s="72">
        <v>-1.0629921259842523E-2</v>
      </c>
      <c r="K20" s="72">
        <v>-1.1937922801432577E-2</v>
      </c>
      <c r="L20" s="27"/>
      <c r="M20" s="72">
        <v>-1.1679420056383449E-2</v>
      </c>
      <c r="N20" s="72">
        <v>-1.3039934800325947E-2</v>
      </c>
      <c r="O20" s="72">
        <v>-1.1560693641618491E-2</v>
      </c>
      <c r="P20" s="72">
        <v>-1.1695906432748537E-2</v>
      </c>
      <c r="Q20" s="27"/>
      <c r="R20" s="72">
        <v>-3.3812341504648735E-3</v>
      </c>
      <c r="S20" s="72">
        <v>-8.4817642069545673E-4</v>
      </c>
      <c r="T20" s="72">
        <v>2.9711375212224667E-3</v>
      </c>
      <c r="U20" s="72">
        <v>1.6927634363097521E-3</v>
      </c>
      <c r="V20" s="27"/>
      <c r="W20" s="72">
        <v>4.2247570764675224E-4</v>
      </c>
      <c r="X20" s="72">
        <v>-1.3935810810810856E-2</v>
      </c>
      <c r="Y20" s="72">
        <v>-1.5417558886509641E-2</v>
      </c>
      <c r="Z20" s="72">
        <v>-1.3484123531970371E-2</v>
      </c>
      <c r="AA20" s="27"/>
      <c r="AB20" s="72">
        <v>-1.1463844797178102E-2</v>
      </c>
      <c r="AC20" s="72">
        <v>-8.0285459411240101E-3</v>
      </c>
      <c r="AD20" s="72">
        <v>-4.4964028776983689E-4</v>
      </c>
      <c r="AE20" s="72">
        <v>-3.1488978857400207E-3</v>
      </c>
      <c r="AF20" s="27"/>
      <c r="AG20" s="72">
        <v>-9.0252707581228719E-4</v>
      </c>
      <c r="AH20" s="72">
        <v>-4.0650406504064707E-3</v>
      </c>
      <c r="AI20" s="72">
        <v>0</v>
      </c>
      <c r="AJ20" s="72">
        <v>0</v>
      </c>
      <c r="AK20" s="27"/>
      <c r="AL20" s="72">
        <v>-3.6281179138321962E-2</v>
      </c>
      <c r="AM20" s="72">
        <v>-3.7647058823528923E-3</v>
      </c>
      <c r="AN20" s="72">
        <v>-6.6131317902692333E-3</v>
      </c>
      <c r="AO20" s="72">
        <v>-7.6081787922016586E-3</v>
      </c>
      <c r="AP20" s="27"/>
      <c r="AQ20" s="72">
        <v>-9.1039770004791576E-3</v>
      </c>
      <c r="AR20" s="72">
        <v>-8.704061895551285E-3</v>
      </c>
      <c r="AS20" s="72">
        <v>-9.2682926829268375E-3</v>
      </c>
      <c r="AT20" s="72">
        <v>-1.0339734121122546E-2</v>
      </c>
      <c r="AU20" s="27"/>
      <c r="AV20" s="72">
        <v>-1.1940298507462699E-2</v>
      </c>
      <c r="AW20" s="72">
        <v>-1.2588116817724093E-2</v>
      </c>
      <c r="AX20" s="72">
        <v>-9.6889342172361559E-3</v>
      </c>
      <c r="AY20" s="72">
        <v>-1.3388259526261548E-2</v>
      </c>
      <c r="AZ20" s="27"/>
      <c r="BA20" s="72">
        <v>-1.4091858037578286E-2</v>
      </c>
    </row>
    <row r="21" spans="1:53">
      <c r="A21" s="71" t="s">
        <v>8</v>
      </c>
      <c r="B21" s="24"/>
      <c r="C21" s="73"/>
      <c r="D21" s="73"/>
      <c r="E21" s="73"/>
      <c r="F21" s="73"/>
      <c r="G21" s="24">
        <v>-5.2746453255729353E-2</v>
      </c>
      <c r="H21" s="73">
        <v>-4.8130322102924894E-2</v>
      </c>
      <c r="I21" s="73">
        <v>-4.8689138576779034E-2</v>
      </c>
      <c r="J21" s="73">
        <v>-4.5937737281700808E-2</v>
      </c>
      <c r="K21" s="72">
        <v>-4.64669738863287E-2</v>
      </c>
      <c r="L21" s="24">
        <v>-4.64669738863287E-2</v>
      </c>
      <c r="M21" s="73">
        <v>-4.5507584597432871E-2</v>
      </c>
      <c r="N21" s="73">
        <v>-4.6456692913385833E-2</v>
      </c>
      <c r="O21" s="73">
        <v>-4.7353760445682402E-2</v>
      </c>
      <c r="P21" s="72">
        <v>-4.7120418848167533E-2</v>
      </c>
      <c r="Q21" s="24">
        <v>-4.7120418848167533E-2</v>
      </c>
      <c r="R21" s="73">
        <v>0.15</v>
      </c>
      <c r="S21" s="73">
        <v>-2.725020644095788E-2</v>
      </c>
      <c r="T21" s="73">
        <v>-1.294903926482871E-2</v>
      </c>
      <c r="U21" s="72">
        <v>4.226542688081647E-4</v>
      </c>
      <c r="V21" s="24">
        <v>4.226542688081647E-4</v>
      </c>
      <c r="W21" s="73">
        <v>4.2408821034776167E-3</v>
      </c>
      <c r="X21" s="73">
        <v>-8.9134125636671779E-3</v>
      </c>
      <c r="Y21" s="73">
        <v>-2.7084214980956367E-2</v>
      </c>
      <c r="Z21" s="72">
        <v>-4.1825095057034245E-2</v>
      </c>
      <c r="AA21" s="24">
        <v>-4.1825095057034245E-2</v>
      </c>
      <c r="AB21" s="73">
        <v>-5.3209459459459429E-2</v>
      </c>
      <c r="AC21" s="73">
        <v>-4.7537473233404737E-2</v>
      </c>
      <c r="AD21" s="73">
        <v>-3.3057851239669422E-2</v>
      </c>
      <c r="AE21" s="72">
        <v>-2.2927689594356315E-2</v>
      </c>
      <c r="AF21" s="24">
        <v>-2.2927689594356315E-2</v>
      </c>
      <c r="AG21" s="73">
        <v>-1.2488849241748423E-2</v>
      </c>
      <c r="AH21" s="73">
        <v>-8.5431654676259017E-3</v>
      </c>
      <c r="AI21" s="73">
        <v>-8.0971659919027994E-3</v>
      </c>
      <c r="AJ21" s="72">
        <v>-4.9638989169674685E-3</v>
      </c>
      <c r="AK21" s="24">
        <v>-4.9638989169674685E-3</v>
      </c>
      <c r="AL21" s="73">
        <v>-4.0198735320686518E-2</v>
      </c>
      <c r="AM21" s="73">
        <v>-3.990929705215418E-2</v>
      </c>
      <c r="AN21" s="73">
        <v>-4.6258503401360507E-2</v>
      </c>
      <c r="AO21" s="72">
        <v>-5.3514739229024944E-2</v>
      </c>
      <c r="AP21" s="24">
        <v>-5.3514739229024944E-2</v>
      </c>
      <c r="AQ21" s="73">
        <v>-2.6823529411764691E-2</v>
      </c>
      <c r="AR21" s="73">
        <v>-3.1648559282002831E-2</v>
      </c>
      <c r="AS21" s="73">
        <v>-3.4236804564907297E-2</v>
      </c>
      <c r="AT21" s="72">
        <v>-3.6895064686152335E-2</v>
      </c>
      <c r="AU21" s="24">
        <v>-3.6895064686152335E-2</v>
      </c>
      <c r="AV21" s="73">
        <v>-3.9651837524178002E-2</v>
      </c>
      <c r="AW21" s="73">
        <v>-4.3414634146341502E-2</v>
      </c>
      <c r="AX21" s="73">
        <v>-4.3820777941900535E-2</v>
      </c>
      <c r="AY21" s="72">
        <v>-4.676616915422882E-2</v>
      </c>
      <c r="AZ21" s="24">
        <v>-4.676616915422882E-2</v>
      </c>
      <c r="BA21" s="73">
        <v>-4.8841893252769331E-2</v>
      </c>
    </row>
    <row r="22" spans="1:53">
      <c r="A22" s="71" t="s">
        <v>222</v>
      </c>
      <c r="B22" s="24"/>
      <c r="C22" s="73"/>
      <c r="D22" s="73"/>
      <c r="E22" s="73"/>
      <c r="F22" s="73"/>
      <c r="G22" s="200">
        <v>-145</v>
      </c>
      <c r="H22" s="73"/>
      <c r="I22" s="73"/>
      <c r="J22" s="73"/>
      <c r="K22" s="72"/>
      <c r="L22" s="200">
        <v>-121</v>
      </c>
      <c r="M22" s="73"/>
      <c r="N22" s="73"/>
      <c r="O22" s="73"/>
      <c r="P22" s="72"/>
      <c r="Q22" s="200">
        <v>-117</v>
      </c>
      <c r="R22" s="73"/>
      <c r="S22" s="73"/>
      <c r="T22" s="73"/>
      <c r="U22" s="72"/>
      <c r="V22" s="200">
        <v>1</v>
      </c>
      <c r="W22" s="73"/>
      <c r="X22" s="73"/>
      <c r="Y22" s="73"/>
      <c r="Z22" s="72"/>
      <c r="AA22" s="200">
        <v>-99</v>
      </c>
      <c r="AB22" s="73"/>
      <c r="AC22" s="73"/>
      <c r="AD22" s="73"/>
      <c r="AE22" s="72"/>
      <c r="AF22" s="200">
        <v>-52</v>
      </c>
      <c r="AG22" s="73"/>
      <c r="AH22" s="73"/>
      <c r="AI22" s="73"/>
      <c r="AJ22" s="72"/>
      <c r="AK22" s="200">
        <v>-11</v>
      </c>
      <c r="AL22" s="197"/>
      <c r="AM22" s="197">
        <v>-8</v>
      </c>
      <c r="AN22" s="197">
        <v>-14</v>
      </c>
      <c r="AO22" s="197">
        <v>-16</v>
      </c>
      <c r="AP22" s="200">
        <v>-118</v>
      </c>
      <c r="AQ22" s="199">
        <v>-19</v>
      </c>
      <c r="AR22" s="199">
        <v>-18</v>
      </c>
      <c r="AS22" s="199">
        <v>-19</v>
      </c>
      <c r="AT22" s="199">
        <v>-21</v>
      </c>
      <c r="AU22" s="200">
        <v>-77</v>
      </c>
      <c r="AV22" s="199">
        <v>-24</v>
      </c>
      <c r="AW22" s="199">
        <v>-25</v>
      </c>
      <c r="AX22" s="199">
        <v>-19</v>
      </c>
      <c r="AY22" s="199">
        <v>-26</v>
      </c>
      <c r="AZ22" s="200">
        <v>-94</v>
      </c>
      <c r="BA22" s="199">
        <v>-27</v>
      </c>
    </row>
    <row r="23" spans="1:53">
      <c r="A23" s="71"/>
      <c r="B23" s="24"/>
      <c r="C23" s="73"/>
      <c r="D23" s="73"/>
      <c r="E23" s="73"/>
      <c r="F23" s="73"/>
      <c r="G23" s="24"/>
      <c r="H23" s="73"/>
      <c r="I23" s="73"/>
      <c r="J23" s="73"/>
      <c r="K23" s="72"/>
      <c r="L23" s="24"/>
      <c r="M23" s="73"/>
      <c r="N23" s="73"/>
      <c r="O23" s="73"/>
      <c r="P23" s="72"/>
      <c r="Q23" s="24"/>
      <c r="R23" s="73"/>
      <c r="S23" s="73"/>
      <c r="T23" s="73"/>
      <c r="U23" s="72"/>
      <c r="V23" s="24"/>
      <c r="W23" s="73"/>
      <c r="X23" s="73"/>
      <c r="Y23" s="73"/>
      <c r="Z23" s="72"/>
      <c r="AA23" s="24"/>
      <c r="AB23" s="73"/>
      <c r="AC23" s="73"/>
      <c r="AD23" s="73"/>
      <c r="AE23" s="72"/>
      <c r="AF23" s="24"/>
      <c r="AG23" s="73"/>
      <c r="AH23" s="73"/>
      <c r="AI23" s="73"/>
      <c r="AJ23" s="72"/>
      <c r="AK23" s="24"/>
      <c r="AL23" s="73"/>
      <c r="AM23" s="73"/>
      <c r="AN23" s="73"/>
      <c r="AO23" s="72"/>
      <c r="AP23" s="24"/>
      <c r="AQ23" s="73"/>
      <c r="AR23" s="73"/>
      <c r="AS23" s="73"/>
      <c r="AT23" s="72"/>
      <c r="AU23" s="24"/>
      <c r="AV23" s="73"/>
      <c r="AW23" s="73"/>
      <c r="AX23" s="73"/>
      <c r="AY23" s="72"/>
      <c r="AZ23" s="24"/>
      <c r="BA23" s="73"/>
    </row>
    <row r="24" spans="1:53">
      <c r="A24" s="194" t="s">
        <v>221</v>
      </c>
      <c r="B24" s="102" t="s">
        <v>53</v>
      </c>
      <c r="C24" s="76">
        <v>114</v>
      </c>
      <c r="D24" s="76">
        <v>109</v>
      </c>
      <c r="E24" s="76">
        <v>113</v>
      </c>
      <c r="F24" s="76">
        <v>109</v>
      </c>
      <c r="G24" s="63">
        <v>111</v>
      </c>
      <c r="H24" s="76">
        <v>108</v>
      </c>
      <c r="I24" s="76">
        <v>108</v>
      </c>
      <c r="J24" s="76">
        <v>111</v>
      </c>
      <c r="K24" s="70">
        <v>110</v>
      </c>
      <c r="L24" s="28">
        <v>109</v>
      </c>
      <c r="M24" s="76">
        <v>106</v>
      </c>
      <c r="N24" s="76">
        <v>109</v>
      </c>
      <c r="O24" s="76">
        <v>109</v>
      </c>
      <c r="P24" s="70">
        <v>111</v>
      </c>
      <c r="Q24" s="28">
        <v>109</v>
      </c>
      <c r="R24" s="76">
        <v>87</v>
      </c>
      <c r="S24" s="76">
        <v>86</v>
      </c>
      <c r="T24" s="76">
        <v>87</v>
      </c>
      <c r="U24" s="70">
        <v>78</v>
      </c>
      <c r="V24" s="28">
        <v>85</v>
      </c>
      <c r="W24" s="76">
        <v>83</v>
      </c>
      <c r="X24" s="76">
        <v>81</v>
      </c>
      <c r="Y24" s="76">
        <v>80</v>
      </c>
      <c r="Z24" s="70">
        <v>78</v>
      </c>
      <c r="AA24" s="28">
        <v>81</v>
      </c>
      <c r="AB24" s="76">
        <v>75</v>
      </c>
      <c r="AC24" s="76">
        <v>75</v>
      </c>
      <c r="AD24" s="76">
        <v>73</v>
      </c>
      <c r="AE24" s="70">
        <v>70</v>
      </c>
      <c r="AF24" s="28">
        <v>74</v>
      </c>
      <c r="AG24" s="76">
        <v>64</v>
      </c>
      <c r="AH24" s="76">
        <v>63</v>
      </c>
      <c r="AI24" s="76">
        <v>63</v>
      </c>
      <c r="AJ24" s="70">
        <v>62</v>
      </c>
      <c r="AK24" s="28">
        <v>63</v>
      </c>
      <c r="AL24" s="76">
        <v>60</v>
      </c>
      <c r="AM24" s="76">
        <v>59</v>
      </c>
      <c r="AN24" s="76">
        <v>59</v>
      </c>
      <c r="AO24" s="70">
        <v>59</v>
      </c>
      <c r="AP24" s="28">
        <v>59</v>
      </c>
      <c r="AQ24" s="76">
        <v>58</v>
      </c>
      <c r="AR24" s="76">
        <v>57</v>
      </c>
      <c r="AS24" s="76">
        <v>57</v>
      </c>
      <c r="AT24" s="70">
        <v>55</v>
      </c>
      <c r="AU24" s="28">
        <v>57</v>
      </c>
      <c r="AV24" s="76">
        <v>56</v>
      </c>
      <c r="AW24" s="76">
        <v>54</v>
      </c>
      <c r="AX24" s="76">
        <v>54</v>
      </c>
      <c r="AY24" s="70">
        <v>53</v>
      </c>
      <c r="AZ24" s="28">
        <v>54</v>
      </c>
      <c r="BA24" s="76">
        <v>53</v>
      </c>
    </row>
    <row r="25" spans="1:53">
      <c r="A25" s="71" t="s">
        <v>7</v>
      </c>
      <c r="B25" s="24"/>
      <c r="C25" s="72"/>
      <c r="D25" s="72">
        <f>D24/C24-1</f>
        <v>-4.3859649122807043E-2</v>
      </c>
      <c r="E25" s="72">
        <f>E24/D24-1</f>
        <v>3.669724770642202E-2</v>
      </c>
      <c r="F25" s="72">
        <f>F24/E24-1</f>
        <v>-3.539823008849563E-2</v>
      </c>
      <c r="G25" s="24"/>
      <c r="H25" s="72">
        <v>-9.1743119266054496E-3</v>
      </c>
      <c r="I25" s="72">
        <v>0</v>
      </c>
      <c r="J25" s="72">
        <v>2.7777777777777679E-2</v>
      </c>
      <c r="K25" s="72">
        <v>-9.009009009009028E-3</v>
      </c>
      <c r="L25" s="27"/>
      <c r="M25" s="72">
        <v>-3.6363636363636376E-2</v>
      </c>
      <c r="N25" s="72">
        <v>2.8301886792452935E-2</v>
      </c>
      <c r="O25" s="72">
        <v>0</v>
      </c>
      <c r="P25" s="72">
        <v>1.8348623853210899E-2</v>
      </c>
      <c r="Q25" s="27"/>
      <c r="R25" s="72">
        <v>-0.21621621621621623</v>
      </c>
      <c r="S25" s="72">
        <v>-1.1494252873563204E-2</v>
      </c>
      <c r="T25" s="72">
        <v>1.1627906976744207E-2</v>
      </c>
      <c r="U25" s="72">
        <v>-0.10344827586206895</v>
      </c>
      <c r="V25" s="27"/>
      <c r="W25" s="72">
        <v>6.4102564102564097E-2</v>
      </c>
      <c r="X25" s="72">
        <v>-2.4096385542168641E-2</v>
      </c>
      <c r="Y25" s="72">
        <v>-1.2345679012345734E-2</v>
      </c>
      <c r="Z25" s="72">
        <v>-2.5000000000000022E-2</v>
      </c>
      <c r="AA25" s="27"/>
      <c r="AB25" s="72">
        <v>-3.8461538461538436E-2</v>
      </c>
      <c r="AC25" s="72">
        <v>0</v>
      </c>
      <c r="AD25" s="72">
        <v>-2.6666666666666616E-2</v>
      </c>
      <c r="AE25" s="72">
        <v>-4.1095890410958957E-2</v>
      </c>
      <c r="AF25" s="27"/>
      <c r="AG25" s="72">
        <v>-8.5714285714285743E-2</v>
      </c>
      <c r="AH25" s="72">
        <v>-1.5625E-2</v>
      </c>
      <c r="AI25" s="72">
        <v>0</v>
      </c>
      <c r="AJ25" s="72">
        <v>-1.5873015873015928E-2</v>
      </c>
      <c r="AK25" s="27"/>
      <c r="AL25" s="72">
        <v>-3.2258064516129004E-2</v>
      </c>
      <c r="AM25" s="72">
        <v>-1.6666666666666718E-2</v>
      </c>
      <c r="AN25" s="72">
        <v>0</v>
      </c>
      <c r="AO25" s="72">
        <v>0</v>
      </c>
      <c r="AP25" s="27"/>
      <c r="AQ25" s="72">
        <v>-1.6949152542372836E-2</v>
      </c>
      <c r="AR25" s="72">
        <v>-1.7241379310344862E-2</v>
      </c>
      <c r="AS25" s="72">
        <v>0</v>
      </c>
      <c r="AT25" s="72">
        <v>-3.5087719298245612E-2</v>
      </c>
      <c r="AU25" s="27"/>
      <c r="AV25" s="72">
        <v>1.8181818181818077E-2</v>
      </c>
      <c r="AW25" s="72">
        <v>-3.5714285714285698E-2</v>
      </c>
      <c r="AX25" s="72">
        <v>0</v>
      </c>
      <c r="AY25" s="72">
        <v>-1.851851851851849E-2</v>
      </c>
      <c r="AZ25" s="27"/>
      <c r="BA25" s="72">
        <v>0</v>
      </c>
    </row>
    <row r="26" spans="1:53">
      <c r="A26" s="71" t="s">
        <v>8</v>
      </c>
      <c r="B26" s="24"/>
      <c r="C26" s="73"/>
      <c r="D26" s="73"/>
      <c r="E26" s="73"/>
      <c r="F26" s="73"/>
      <c r="G26" s="24"/>
      <c r="H26" s="73">
        <v>-5.2631578947368474E-2</v>
      </c>
      <c r="I26" s="73">
        <v>-9.1743119266054496E-3</v>
      </c>
      <c r="J26" s="73">
        <v>-1.7699115044247815E-2</v>
      </c>
      <c r="K26" s="72">
        <v>9.1743119266054496E-3</v>
      </c>
      <c r="L26" s="24">
        <v>-1.8018018018018056E-2</v>
      </c>
      <c r="M26" s="73">
        <v>-1.851851851851849E-2</v>
      </c>
      <c r="N26" s="73">
        <v>9.2592592592593004E-3</v>
      </c>
      <c r="O26" s="73">
        <v>-1.8018018018018056E-2</v>
      </c>
      <c r="P26" s="72">
        <v>9.0909090909090384E-3</v>
      </c>
      <c r="Q26" s="24">
        <v>0</v>
      </c>
      <c r="R26" s="73">
        <v>-0.17924528301886788</v>
      </c>
      <c r="S26" s="73">
        <v>-0.21100917431192656</v>
      </c>
      <c r="T26" s="73">
        <v>-0.20183486238532111</v>
      </c>
      <c r="U26" s="72">
        <v>-0.29729729729729726</v>
      </c>
      <c r="V26" s="24">
        <v>-0.22018348623853212</v>
      </c>
      <c r="W26" s="73">
        <v>-4.5977011494252928E-2</v>
      </c>
      <c r="X26" s="73">
        <v>-5.8139534883720922E-2</v>
      </c>
      <c r="Y26" s="73">
        <v>-8.0459770114942541E-2</v>
      </c>
      <c r="Z26" s="72">
        <v>0</v>
      </c>
      <c r="AA26" s="24">
        <v>-4.705882352941182E-2</v>
      </c>
      <c r="AB26" s="73">
        <v>-9.6385542168674676E-2</v>
      </c>
      <c r="AC26" s="73">
        <v>-7.407407407407407E-2</v>
      </c>
      <c r="AD26" s="73">
        <v>-8.7500000000000022E-2</v>
      </c>
      <c r="AE26" s="72">
        <v>-0.10256410256410253</v>
      </c>
      <c r="AF26" s="24">
        <v>-8.6419753086419804E-2</v>
      </c>
      <c r="AG26" s="73">
        <v>-0.14666666666666661</v>
      </c>
      <c r="AH26" s="73">
        <v>-0.16000000000000003</v>
      </c>
      <c r="AI26" s="73">
        <v>-0.13698630136986301</v>
      </c>
      <c r="AJ26" s="72">
        <v>-0.11428571428571432</v>
      </c>
      <c r="AK26" s="24">
        <v>-0.14864864864864868</v>
      </c>
      <c r="AL26" s="73">
        <v>-6.25E-2</v>
      </c>
      <c r="AM26" s="73">
        <v>-6.3492063492063489E-2</v>
      </c>
      <c r="AN26" s="73">
        <v>-6.3492063492063489E-2</v>
      </c>
      <c r="AO26" s="72">
        <v>-4.8387096774193505E-2</v>
      </c>
      <c r="AP26" s="24">
        <v>-6.3492063492063489E-2</v>
      </c>
      <c r="AQ26" s="73">
        <v>-3.3333333333333326E-2</v>
      </c>
      <c r="AR26" s="73">
        <v>-3.3898305084745783E-2</v>
      </c>
      <c r="AS26" s="73">
        <v>-3.3898305084745783E-2</v>
      </c>
      <c r="AT26" s="72">
        <v>-6.7796610169491567E-2</v>
      </c>
      <c r="AU26" s="24">
        <v>-3.3898305084745783E-2</v>
      </c>
      <c r="AV26" s="73">
        <v>-3.4482758620689613E-2</v>
      </c>
      <c r="AW26" s="73">
        <v>-5.2631578947368474E-2</v>
      </c>
      <c r="AX26" s="73">
        <v>-5.2631578947368474E-2</v>
      </c>
      <c r="AY26" s="72">
        <v>-3.6363636363636376E-2</v>
      </c>
      <c r="AZ26" s="24">
        <v>-5.2631578947368474E-2</v>
      </c>
      <c r="BA26" s="73">
        <v>-5.3571428571428603E-2</v>
      </c>
    </row>
    <row r="27" spans="1:53">
      <c r="A27" s="71"/>
      <c r="B27" s="24"/>
      <c r="C27" s="73"/>
      <c r="D27" s="73"/>
      <c r="E27" s="73"/>
      <c r="F27" s="73"/>
      <c r="G27" s="24"/>
      <c r="H27" s="73"/>
      <c r="I27" s="73"/>
      <c r="J27" s="73"/>
      <c r="K27" s="72"/>
      <c r="L27" s="24"/>
      <c r="M27" s="73"/>
      <c r="N27" s="73"/>
      <c r="O27" s="73"/>
      <c r="P27" s="72"/>
      <c r="Q27" s="24"/>
      <c r="R27" s="73"/>
      <c r="S27" s="73"/>
      <c r="T27" s="73"/>
      <c r="U27" s="72"/>
      <c r="V27" s="24"/>
      <c r="W27" s="73"/>
      <c r="X27" s="73"/>
      <c r="Y27" s="73"/>
      <c r="Z27" s="72"/>
      <c r="AA27" s="24"/>
      <c r="AB27" s="73"/>
      <c r="AC27" s="73"/>
      <c r="AD27" s="73"/>
      <c r="AE27" s="72"/>
      <c r="AF27" s="24"/>
      <c r="AG27" s="73"/>
      <c r="AH27" s="73"/>
      <c r="AI27" s="73"/>
      <c r="AJ27" s="72"/>
      <c r="AK27" s="24"/>
      <c r="AL27" s="73"/>
      <c r="AM27" s="73"/>
      <c r="AN27" s="73"/>
      <c r="AO27" s="72"/>
      <c r="AP27" s="24"/>
      <c r="AQ27" s="73"/>
      <c r="AR27" s="73"/>
      <c r="AS27" s="73"/>
      <c r="AT27" s="72"/>
      <c r="AU27" s="24"/>
      <c r="AV27" s="73"/>
      <c r="AW27" s="73"/>
      <c r="AX27" s="73"/>
      <c r="AY27" s="72"/>
      <c r="AZ27" s="24"/>
      <c r="BA27" s="73"/>
    </row>
    <row r="28" spans="1:53" hidden="1">
      <c r="A28" s="69" t="s">
        <v>84</v>
      </c>
      <c r="B28" s="38">
        <v>87</v>
      </c>
      <c r="C28" s="76">
        <v>85</v>
      </c>
      <c r="D28" s="76">
        <v>82</v>
      </c>
      <c r="E28" s="76">
        <v>85</v>
      </c>
      <c r="F28" s="76">
        <v>82</v>
      </c>
      <c r="G28" s="63">
        <v>83</v>
      </c>
      <c r="H28" s="76">
        <v>82</v>
      </c>
      <c r="I28" s="76">
        <v>81</v>
      </c>
      <c r="J28" s="76">
        <v>83</v>
      </c>
      <c r="K28" s="70">
        <v>83</v>
      </c>
      <c r="L28" s="28">
        <v>82</v>
      </c>
      <c r="M28" s="76">
        <v>80</v>
      </c>
      <c r="N28" s="76">
        <v>81</v>
      </c>
      <c r="O28" s="76">
        <v>82</v>
      </c>
      <c r="P28" s="70">
        <v>83</v>
      </c>
      <c r="Q28" s="28">
        <v>81</v>
      </c>
      <c r="R28" s="76">
        <v>79</v>
      </c>
      <c r="S28" s="76">
        <v>77</v>
      </c>
      <c r="T28" s="76">
        <v>78</v>
      </c>
      <c r="U28" s="70">
        <v>70</v>
      </c>
      <c r="V28" s="28">
        <v>76</v>
      </c>
      <c r="W28" s="76">
        <v>74</v>
      </c>
      <c r="X28" s="76">
        <v>73</v>
      </c>
      <c r="Y28" s="76">
        <v>73</v>
      </c>
      <c r="Z28" s="70">
        <v>71</v>
      </c>
      <c r="AA28" s="28">
        <v>73</v>
      </c>
      <c r="AB28" s="76">
        <v>69</v>
      </c>
      <c r="AC28" s="76">
        <v>68</v>
      </c>
      <c r="AD28" s="76">
        <v>67</v>
      </c>
      <c r="AE28" s="70">
        <v>64</v>
      </c>
      <c r="AF28" s="28">
        <v>67</v>
      </c>
      <c r="AG28" s="76">
        <v>69</v>
      </c>
      <c r="AH28" s="76">
        <v>68</v>
      </c>
      <c r="AI28" s="76">
        <v>68</v>
      </c>
      <c r="AJ28" s="70">
        <v>64</v>
      </c>
      <c r="AK28" s="28">
        <v>-586</v>
      </c>
      <c r="AL28" s="76">
        <v>69</v>
      </c>
      <c r="AM28" s="76">
        <v>68</v>
      </c>
      <c r="AN28" s="76">
        <v>68</v>
      </c>
      <c r="AO28" s="70">
        <v>64</v>
      </c>
      <c r="AP28" s="28">
        <v>-586</v>
      </c>
      <c r="AQ28" s="76">
        <v>69</v>
      </c>
      <c r="AR28" s="76">
        <v>68</v>
      </c>
      <c r="AS28" s="76">
        <v>68</v>
      </c>
      <c r="AT28" s="70">
        <v>64</v>
      </c>
      <c r="AU28" s="28">
        <v>-586</v>
      </c>
      <c r="AV28" s="76">
        <v>69</v>
      </c>
      <c r="AW28" s="76">
        <v>69</v>
      </c>
      <c r="AX28" s="76">
        <v>69</v>
      </c>
      <c r="AY28" s="70">
        <v>64</v>
      </c>
      <c r="AZ28" s="28">
        <v>-586</v>
      </c>
      <c r="BA28" s="76">
        <v>69</v>
      </c>
    </row>
    <row r="29" spans="1:53" hidden="1">
      <c r="A29" s="71" t="s">
        <v>7</v>
      </c>
      <c r="B29" s="24"/>
      <c r="C29" s="72"/>
      <c r="D29" s="72">
        <f>D28/C28-1</f>
        <v>-3.5294117647058809E-2</v>
      </c>
      <c r="E29" s="72">
        <f>E28/D28-1</f>
        <v>3.6585365853658569E-2</v>
      </c>
      <c r="F29" s="72">
        <f>F28/E28-1</f>
        <v>-3.5294117647058809E-2</v>
      </c>
      <c r="G29" s="24"/>
      <c r="H29" s="72">
        <v>0</v>
      </c>
      <c r="I29" s="72">
        <v>-1.2195121951219523E-2</v>
      </c>
      <c r="J29" s="72">
        <v>2.4691358024691468E-2</v>
      </c>
      <c r="K29" s="72">
        <v>0</v>
      </c>
      <c r="L29" s="27"/>
      <c r="M29" s="72">
        <v>-3.6144578313253017E-2</v>
      </c>
      <c r="N29" s="72">
        <v>1.2499999999999956E-2</v>
      </c>
      <c r="O29" s="72">
        <v>1.2345679012345734E-2</v>
      </c>
      <c r="P29" s="72">
        <v>1.2195121951219523E-2</v>
      </c>
      <c r="Q29" s="27"/>
      <c r="R29" s="72">
        <v>-4.8192771084337394E-2</v>
      </c>
      <c r="S29" s="72">
        <v>-2.5316455696202556E-2</v>
      </c>
      <c r="T29" s="72">
        <v>1.298701298701288E-2</v>
      </c>
      <c r="U29" s="72">
        <v>-0.10256410256410253</v>
      </c>
      <c r="V29" s="27"/>
      <c r="W29" s="72">
        <v>5.7142857142857162E-2</v>
      </c>
      <c r="X29" s="72">
        <v>-1.3513513513513487E-2</v>
      </c>
      <c r="Y29" s="72">
        <v>0</v>
      </c>
      <c r="Z29" s="72">
        <v>-2.7397260273972601E-2</v>
      </c>
      <c r="AA29" s="27"/>
      <c r="AB29" s="72">
        <v>-2.8169014084507005E-2</v>
      </c>
      <c r="AC29" s="72">
        <v>-1.4492753623188359E-2</v>
      </c>
      <c r="AD29" s="72">
        <v>-1.4705882352941124E-2</v>
      </c>
      <c r="AE29" s="72">
        <v>-4.4776119402985093E-2</v>
      </c>
      <c r="AF29" s="27"/>
      <c r="AG29" s="72">
        <v>7.8125E-2</v>
      </c>
      <c r="AH29" s="72">
        <v>-1.4492753623188359E-2</v>
      </c>
      <c r="AI29" s="72">
        <v>0</v>
      </c>
      <c r="AJ29" s="72">
        <v>-5.8823529411764719E-2</v>
      </c>
      <c r="AK29" s="27"/>
      <c r="AL29" s="72">
        <v>7.8125E-2</v>
      </c>
      <c r="AM29" s="72">
        <v>-1.4492753623188359E-2</v>
      </c>
      <c r="AN29" s="72">
        <v>0</v>
      </c>
      <c r="AO29" s="72">
        <v>-5.8823529411764719E-2</v>
      </c>
      <c r="AP29" s="27"/>
      <c r="AQ29" s="72">
        <v>7.8125E-2</v>
      </c>
      <c r="AR29" s="72">
        <v>-1.4492753623188359E-2</v>
      </c>
      <c r="AS29" s="72">
        <v>0</v>
      </c>
      <c r="AT29" s="72">
        <v>-5.8823529411764719E-2</v>
      </c>
      <c r="AU29" s="27"/>
      <c r="AV29" s="72">
        <v>7.8125E-2</v>
      </c>
      <c r="AW29" s="72">
        <v>-1.1177474402730376</v>
      </c>
      <c r="AX29" s="72">
        <v>0</v>
      </c>
      <c r="AY29" s="72">
        <v>-7.2463768115942018E-2</v>
      </c>
      <c r="AZ29" s="27"/>
      <c r="BA29" s="72">
        <v>7.8125E-2</v>
      </c>
    </row>
    <row r="30" spans="1:53" hidden="1">
      <c r="A30" s="71" t="s">
        <v>8</v>
      </c>
      <c r="B30" s="24"/>
      <c r="C30" s="73"/>
      <c r="D30" s="73"/>
      <c r="E30" s="73"/>
      <c r="F30" s="73"/>
      <c r="G30" s="24">
        <v>-4.5977011494252928E-2</v>
      </c>
      <c r="H30" s="73">
        <v>-3.5294117647058809E-2</v>
      </c>
      <c r="I30" s="73">
        <v>-1.2195121951219523E-2</v>
      </c>
      <c r="J30" s="73">
        <v>-2.352941176470591E-2</v>
      </c>
      <c r="K30" s="72">
        <v>1.2195121951219523E-2</v>
      </c>
      <c r="L30" s="24">
        <v>-1.2048192771084376E-2</v>
      </c>
      <c r="M30" s="73">
        <v>-2.4390243902439046E-2</v>
      </c>
      <c r="N30" s="73">
        <v>0</v>
      </c>
      <c r="O30" s="73">
        <v>-1.2048192771084376E-2</v>
      </c>
      <c r="P30" s="72">
        <v>0</v>
      </c>
      <c r="Q30" s="24">
        <v>-1.2195121951219523E-2</v>
      </c>
      <c r="R30" s="73">
        <v>-1.2499999999999956E-2</v>
      </c>
      <c r="S30" s="73">
        <v>-4.9382716049382713E-2</v>
      </c>
      <c r="T30" s="73">
        <v>-4.8780487804878092E-2</v>
      </c>
      <c r="U30" s="72">
        <v>-0.15662650602409633</v>
      </c>
      <c r="V30" s="24">
        <v>-6.1728395061728447E-2</v>
      </c>
      <c r="W30" s="73">
        <v>-6.3291139240506333E-2</v>
      </c>
      <c r="X30" s="73">
        <v>-5.1948051948051965E-2</v>
      </c>
      <c r="Y30" s="73">
        <v>-6.4102564102564097E-2</v>
      </c>
      <c r="Z30" s="72">
        <v>1.4285714285714235E-2</v>
      </c>
      <c r="AA30" s="24">
        <v>-3.9473684210526327E-2</v>
      </c>
      <c r="AB30" s="73">
        <v>-6.7567567567567544E-2</v>
      </c>
      <c r="AC30" s="73">
        <v>-6.8493150684931559E-2</v>
      </c>
      <c r="AD30" s="73">
        <v>-8.2191780821917804E-2</v>
      </c>
      <c r="AE30" s="72">
        <v>-9.8591549295774628E-2</v>
      </c>
      <c r="AF30" s="24">
        <v>-8.2191780821917804E-2</v>
      </c>
      <c r="AG30" s="73">
        <v>0</v>
      </c>
      <c r="AH30" s="73">
        <v>0</v>
      </c>
      <c r="AI30" s="73">
        <v>1.4925373134328401E-2</v>
      </c>
      <c r="AJ30" s="72">
        <v>0</v>
      </c>
      <c r="AK30" s="24">
        <v>-9.7462686567164187</v>
      </c>
      <c r="AL30" s="73">
        <v>0</v>
      </c>
      <c r="AM30" s="73">
        <v>0</v>
      </c>
      <c r="AN30" s="73">
        <v>0</v>
      </c>
      <c r="AO30" s="72">
        <v>0</v>
      </c>
      <c r="AP30" s="24">
        <v>0</v>
      </c>
      <c r="AQ30" s="73">
        <v>0</v>
      </c>
      <c r="AR30" s="73">
        <v>0</v>
      </c>
      <c r="AS30" s="73">
        <v>0</v>
      </c>
      <c r="AT30" s="72">
        <v>0</v>
      </c>
      <c r="AU30" s="24">
        <v>0</v>
      </c>
      <c r="AV30" s="73">
        <v>0</v>
      </c>
      <c r="AW30" s="73">
        <v>1.4705882352941124E-2</v>
      </c>
      <c r="AX30" s="73">
        <v>1.4705882352941124E-2</v>
      </c>
      <c r="AY30" s="72">
        <v>0</v>
      </c>
      <c r="AZ30" s="24">
        <v>0</v>
      </c>
      <c r="BA30" s="73">
        <v>0</v>
      </c>
    </row>
    <row r="31" spans="1:53" hidden="1">
      <c r="A31" s="71"/>
      <c r="B31" s="24"/>
      <c r="C31" s="73"/>
      <c r="D31" s="73"/>
      <c r="E31" s="73"/>
      <c r="F31" s="73"/>
      <c r="G31" s="24"/>
      <c r="H31" s="73"/>
      <c r="I31" s="73"/>
      <c r="J31" s="73"/>
      <c r="K31" s="72"/>
      <c r="L31" s="24"/>
      <c r="M31" s="73"/>
      <c r="N31" s="73"/>
      <c r="O31" s="73"/>
      <c r="P31" s="72"/>
      <c r="Q31" s="24"/>
      <c r="R31" s="73"/>
      <c r="S31" s="73"/>
      <c r="T31" s="73"/>
      <c r="U31" s="72"/>
      <c r="V31" s="24"/>
      <c r="W31" s="73"/>
      <c r="X31" s="73"/>
      <c r="Y31" s="73"/>
      <c r="Z31" s="72"/>
      <c r="AA31" s="24"/>
      <c r="AB31" s="73"/>
      <c r="AC31" s="73"/>
      <c r="AD31" s="73"/>
      <c r="AE31" s="72"/>
      <c r="AF31" s="24"/>
      <c r="AG31" s="73"/>
      <c r="AH31" s="73"/>
      <c r="AI31" s="73"/>
      <c r="AJ31" s="72"/>
      <c r="AK31" s="24"/>
      <c r="AL31" s="73"/>
      <c r="AM31" s="73"/>
      <c r="AN31" s="73"/>
      <c r="AO31" s="72"/>
      <c r="AP31" s="24"/>
      <c r="AQ31" s="73"/>
      <c r="AR31" s="73"/>
      <c r="AS31" s="73"/>
      <c r="AT31" s="72"/>
      <c r="AU31" s="24"/>
      <c r="AV31" s="73"/>
      <c r="AW31" s="73"/>
      <c r="AX31" s="73"/>
      <c r="AY31" s="72"/>
      <c r="AZ31" s="24"/>
      <c r="BA31" s="73"/>
    </row>
    <row r="32" spans="1:53">
      <c r="A32" s="69" t="s">
        <v>174</v>
      </c>
      <c r="B32" s="39">
        <v>9.5000000000000001E-2</v>
      </c>
      <c r="C32" s="90">
        <v>3.6999999999999998E-2</v>
      </c>
      <c r="D32" s="90">
        <v>2.8000000000000001E-2</v>
      </c>
      <c r="E32" s="90">
        <v>3.1E-2</v>
      </c>
      <c r="F32" s="90">
        <v>2.9000000000000001E-2</v>
      </c>
      <c r="G32" s="102" t="s">
        <v>53</v>
      </c>
      <c r="H32" s="120" t="s">
        <v>45</v>
      </c>
      <c r="I32" s="120" t="s">
        <v>45</v>
      </c>
      <c r="J32" s="120" t="s">
        <v>45</v>
      </c>
      <c r="K32" s="120" t="s">
        <v>45</v>
      </c>
      <c r="L32" s="102" t="s">
        <v>53</v>
      </c>
      <c r="M32" s="120" t="s">
        <v>45</v>
      </c>
      <c r="N32" s="120" t="s">
        <v>45</v>
      </c>
      <c r="O32" s="120" t="s">
        <v>45</v>
      </c>
      <c r="P32" s="120" t="s">
        <v>45</v>
      </c>
      <c r="Q32" s="102" t="s">
        <v>53</v>
      </c>
      <c r="R32" s="90">
        <v>3.3000000000000002E-2</v>
      </c>
      <c r="S32" s="90">
        <v>2.8000000000000001E-2</v>
      </c>
      <c r="T32" s="90">
        <v>2.8000000000000001E-2</v>
      </c>
      <c r="U32" s="90">
        <v>2.8000000000000001E-2</v>
      </c>
      <c r="V32" s="39">
        <v>0.11600000000000001</v>
      </c>
      <c r="W32" s="90">
        <v>3.2000000000000001E-2</v>
      </c>
      <c r="X32" s="90">
        <v>3.9E-2</v>
      </c>
      <c r="Y32" s="90">
        <v>4.2000000000000003E-2</v>
      </c>
      <c r="Z32" s="90">
        <v>0.04</v>
      </c>
      <c r="AA32" s="39">
        <v>0.153</v>
      </c>
      <c r="AB32" s="90">
        <v>3.6999999999999998E-2</v>
      </c>
      <c r="AC32" s="90">
        <v>3.5000000000000003E-2</v>
      </c>
      <c r="AD32" s="90">
        <v>2.8000000000000001E-2</v>
      </c>
      <c r="AE32" s="90">
        <v>3.1000000000000007E-2</v>
      </c>
      <c r="AF32" s="39">
        <v>0.13100000000000001</v>
      </c>
      <c r="AG32" s="90">
        <v>0.03</v>
      </c>
      <c r="AH32" s="90">
        <v>2.8000000000000001E-2</v>
      </c>
      <c r="AI32" s="90">
        <v>2.8000000000000001E-2</v>
      </c>
      <c r="AJ32" s="90">
        <v>2.5000000000000001E-2</v>
      </c>
      <c r="AK32" s="39">
        <v>0.111</v>
      </c>
      <c r="AL32" s="90">
        <v>2.4E-2</v>
      </c>
      <c r="AM32" s="90">
        <v>2.4E-2</v>
      </c>
      <c r="AN32" s="90">
        <v>2.5999999999999999E-2</v>
      </c>
      <c r="AO32" s="90">
        <v>2.7E-2</v>
      </c>
      <c r="AP32" s="39">
        <v>0.10100000000000001</v>
      </c>
      <c r="AQ32" s="90">
        <v>2.8000000000000001E-2</v>
      </c>
      <c r="AR32" s="90">
        <v>2.4E-2</v>
      </c>
      <c r="AS32" s="90">
        <v>2.5999999999999999E-2</v>
      </c>
      <c r="AT32" s="90">
        <v>2.4E-2</v>
      </c>
      <c r="AU32" s="39">
        <v>0.10199999999999999</v>
      </c>
      <c r="AV32" s="90">
        <v>2.7E-2</v>
      </c>
      <c r="AW32" s="90">
        <v>2.4E-2</v>
      </c>
      <c r="AX32" s="90">
        <v>2.3E-2</v>
      </c>
      <c r="AY32" s="90">
        <v>2.4E-2</v>
      </c>
      <c r="AZ32" s="39">
        <v>9.8000000000000004E-2</v>
      </c>
      <c r="BA32" s="90">
        <v>0.03</v>
      </c>
    </row>
    <row r="33" spans="1:53">
      <c r="A33" s="71"/>
      <c r="B33" s="24"/>
      <c r="C33" s="73"/>
      <c r="D33" s="73"/>
      <c r="E33" s="73"/>
      <c r="F33" s="73"/>
      <c r="G33" s="24"/>
      <c r="H33" s="73"/>
      <c r="I33" s="73"/>
      <c r="J33" s="73"/>
      <c r="K33" s="72"/>
      <c r="L33" s="24"/>
      <c r="M33" s="73"/>
      <c r="N33" s="73"/>
      <c r="O33" s="73"/>
      <c r="P33" s="72"/>
      <c r="Q33" s="24"/>
      <c r="R33" s="73"/>
      <c r="S33" s="73"/>
      <c r="T33" s="73"/>
      <c r="U33" s="72"/>
      <c r="V33" s="24"/>
      <c r="W33" s="73"/>
      <c r="X33" s="73"/>
      <c r="Y33" s="73"/>
      <c r="Z33" s="72"/>
      <c r="AA33" s="24"/>
      <c r="AB33" s="73"/>
      <c r="AC33" s="73"/>
      <c r="AD33" s="73"/>
      <c r="AE33" s="72"/>
      <c r="AF33" s="24"/>
      <c r="AG33" s="73"/>
      <c r="AH33" s="73"/>
      <c r="AI33" s="73"/>
      <c r="AJ33" s="72"/>
      <c r="AK33" s="24"/>
      <c r="AL33" s="73"/>
      <c r="AM33" s="73"/>
      <c r="AN33" s="73"/>
      <c r="AO33" s="72"/>
      <c r="AP33" s="24"/>
      <c r="AQ33" s="73"/>
      <c r="AR33" s="73"/>
      <c r="AS33" s="73"/>
      <c r="AT33" s="72"/>
      <c r="AU33" s="24"/>
      <c r="AV33" s="73"/>
      <c r="AW33" s="73"/>
      <c r="AX33" s="73"/>
      <c r="AY33" s="72"/>
      <c r="AZ33" s="24"/>
      <c r="BA33" s="73"/>
    </row>
    <row r="34" spans="1:53">
      <c r="A34" s="69" t="s">
        <v>156</v>
      </c>
      <c r="B34" s="38">
        <v>963</v>
      </c>
      <c r="C34" s="69">
        <v>970</v>
      </c>
      <c r="D34" s="69">
        <v>982</v>
      </c>
      <c r="E34" s="69">
        <v>994</v>
      </c>
      <c r="F34" s="70">
        <v>1005</v>
      </c>
      <c r="G34" s="38">
        <v>1005</v>
      </c>
      <c r="H34" s="70">
        <v>1011</v>
      </c>
      <c r="I34" s="70">
        <v>1016</v>
      </c>
      <c r="J34" s="70">
        <v>1026</v>
      </c>
      <c r="K34" s="70">
        <v>1035</v>
      </c>
      <c r="L34" s="37">
        <v>1035</v>
      </c>
      <c r="M34" s="70">
        <v>1045</v>
      </c>
      <c r="N34" s="70">
        <v>1051</v>
      </c>
      <c r="O34" s="70">
        <v>1056</v>
      </c>
      <c r="P34" s="70">
        <v>1066</v>
      </c>
      <c r="Q34" s="37">
        <v>1066</v>
      </c>
      <c r="R34" s="70">
        <v>1079</v>
      </c>
      <c r="S34" s="70">
        <v>1088</v>
      </c>
      <c r="T34" s="70">
        <v>1100</v>
      </c>
      <c r="U34" s="70">
        <v>1111</v>
      </c>
      <c r="V34" s="37">
        <v>1111</v>
      </c>
      <c r="W34" s="70">
        <v>1121</v>
      </c>
      <c r="X34" s="70">
        <v>1136</v>
      </c>
      <c r="Y34" s="70">
        <v>1153</v>
      </c>
      <c r="Z34" s="70">
        <v>1169</v>
      </c>
      <c r="AA34" s="37">
        <v>1169</v>
      </c>
      <c r="AB34" s="70">
        <v>1185</v>
      </c>
      <c r="AC34" s="70">
        <v>1202</v>
      </c>
      <c r="AD34" s="70">
        <v>1230</v>
      </c>
      <c r="AE34" s="70">
        <v>1263</v>
      </c>
      <c r="AF34" s="37">
        <v>1263</v>
      </c>
      <c r="AG34" s="70">
        <v>1289</v>
      </c>
      <c r="AH34" s="70">
        <v>1308</v>
      </c>
      <c r="AI34" s="70">
        <v>1335</v>
      </c>
      <c r="AJ34" s="70">
        <v>1364</v>
      </c>
      <c r="AK34" s="37">
        <v>1364</v>
      </c>
      <c r="AL34" s="70">
        <v>1390</v>
      </c>
      <c r="AM34" s="70">
        <v>1418</v>
      </c>
      <c r="AN34" s="70">
        <v>1448</v>
      </c>
      <c r="AO34" s="70">
        <v>1479</v>
      </c>
      <c r="AP34" s="37">
        <v>1479</v>
      </c>
      <c r="AQ34" s="70">
        <v>1503</v>
      </c>
      <c r="AR34" s="70">
        <v>1521</v>
      </c>
      <c r="AS34" s="70">
        <v>1539</v>
      </c>
      <c r="AT34" s="70">
        <v>1558</v>
      </c>
      <c r="AU34" s="37">
        <v>1558</v>
      </c>
      <c r="AV34" s="70">
        <v>1580</v>
      </c>
      <c r="AW34" s="70">
        <v>1593</v>
      </c>
      <c r="AX34" s="70">
        <v>1608</v>
      </c>
      <c r="AY34" s="70">
        <v>1635</v>
      </c>
      <c r="AZ34" s="37">
        <v>1635</v>
      </c>
      <c r="BA34" s="70">
        <v>1653</v>
      </c>
    </row>
    <row r="35" spans="1:53">
      <c r="A35" s="71" t="s">
        <v>7</v>
      </c>
      <c r="B35" s="24"/>
      <c r="C35" s="72"/>
      <c r="D35" s="72">
        <f>D34/C34-1</f>
        <v>1.2371134020618513E-2</v>
      </c>
      <c r="E35" s="72">
        <f>E34/D34-1</f>
        <v>1.2219959266802416E-2</v>
      </c>
      <c r="F35" s="72">
        <f>F34/E34-1</f>
        <v>1.1066398390342069E-2</v>
      </c>
      <c r="G35" s="24"/>
      <c r="H35" s="72">
        <v>5.9701492537314049E-3</v>
      </c>
      <c r="I35" s="72">
        <v>4.9455984174084922E-3</v>
      </c>
      <c r="J35" s="72">
        <v>9.8425196850393526E-3</v>
      </c>
      <c r="K35" s="72">
        <v>8.7719298245614308E-3</v>
      </c>
      <c r="L35" s="27"/>
      <c r="M35" s="72">
        <v>9.6618357487923134E-3</v>
      </c>
      <c r="N35" s="72">
        <v>5.7416267942582699E-3</v>
      </c>
      <c r="O35" s="72">
        <v>4.7573739295909689E-3</v>
      </c>
      <c r="P35" s="72">
        <v>9.4696969696970168E-3</v>
      </c>
      <c r="Q35" s="27"/>
      <c r="R35" s="72">
        <v>1.2195121951219523E-2</v>
      </c>
      <c r="S35" s="72">
        <v>8.3410565338275511E-3</v>
      </c>
      <c r="T35" s="72">
        <v>1.1029411764705843E-2</v>
      </c>
      <c r="U35" s="72">
        <v>1.0000000000000009E-2</v>
      </c>
      <c r="V35" s="27"/>
      <c r="W35" s="72">
        <v>9.0009000900090896E-3</v>
      </c>
      <c r="X35" s="72">
        <v>1.338090990187335E-2</v>
      </c>
      <c r="Y35" s="72">
        <v>1.4964788732394263E-2</v>
      </c>
      <c r="Z35" s="72">
        <v>1.3876843018213458E-2</v>
      </c>
      <c r="AA35" s="27"/>
      <c r="AB35" s="72">
        <v>1.3686911890504749E-2</v>
      </c>
      <c r="AC35" s="72">
        <v>1.4345991561181437E-2</v>
      </c>
      <c r="AD35" s="72">
        <v>2.3294509151414289E-2</v>
      </c>
      <c r="AE35" s="72">
        <v>2.6829268292682951E-2</v>
      </c>
      <c r="AF35" s="27"/>
      <c r="AG35" s="72">
        <v>2.0585906571654711E-2</v>
      </c>
      <c r="AH35" s="72">
        <v>1.4740108611326574E-2</v>
      </c>
      <c r="AI35" s="72">
        <v>2.0642201834862428E-2</v>
      </c>
      <c r="AJ35" s="72">
        <v>2.1722846441947663E-2</v>
      </c>
      <c r="AK35" s="27"/>
      <c r="AL35" s="72">
        <v>1.9061583577712593E-2</v>
      </c>
      <c r="AM35" s="72">
        <v>2.0143884892086295E-2</v>
      </c>
      <c r="AN35" s="72">
        <v>2.1156558533145242E-2</v>
      </c>
      <c r="AO35" s="72">
        <v>2.140883977900554E-2</v>
      </c>
      <c r="AP35" s="27"/>
      <c r="AQ35" s="72">
        <v>1.6227180527383478E-2</v>
      </c>
      <c r="AR35" s="72">
        <v>1.1976047904191711E-2</v>
      </c>
      <c r="AS35" s="72">
        <v>1.1834319526627279E-2</v>
      </c>
      <c r="AT35" s="72">
        <v>1.2345679012345734E-2</v>
      </c>
      <c r="AU35" s="27"/>
      <c r="AV35" s="72">
        <v>1.4120667522464769E-2</v>
      </c>
      <c r="AW35" s="72">
        <v>8.2278481012658666E-3</v>
      </c>
      <c r="AX35" s="72">
        <v>9.4161958568739212E-3</v>
      </c>
      <c r="AY35" s="72">
        <v>1.6791044776119479E-2</v>
      </c>
      <c r="AZ35" s="27"/>
      <c r="BA35" s="72">
        <v>1.1009174311926495E-2</v>
      </c>
    </row>
    <row r="36" spans="1:53">
      <c r="A36" s="71" t="s">
        <v>8</v>
      </c>
      <c r="B36" s="24"/>
      <c r="C36" s="73"/>
      <c r="D36" s="73"/>
      <c r="E36" s="73"/>
      <c r="F36" s="73"/>
      <c r="G36" s="24">
        <v>4.3613707165109039E-2</v>
      </c>
      <c r="H36" s="73">
        <v>4.2268041237113474E-2</v>
      </c>
      <c r="I36" s="73">
        <v>3.4623217922606919E-2</v>
      </c>
      <c r="J36" s="73">
        <v>3.2193158953722323E-2</v>
      </c>
      <c r="K36" s="72">
        <v>2.9850746268656803E-2</v>
      </c>
      <c r="L36" s="24">
        <v>2.9850746268656803E-2</v>
      </c>
      <c r="M36" s="73">
        <v>3.3630069238377747E-2</v>
      </c>
      <c r="N36" s="73">
        <v>3.4448818897637734E-2</v>
      </c>
      <c r="O36" s="73">
        <v>2.9239766081871288E-2</v>
      </c>
      <c r="P36" s="72">
        <v>2.9951690821256038E-2</v>
      </c>
      <c r="Q36" s="24">
        <v>2.9951690821256038E-2</v>
      </c>
      <c r="R36" s="73">
        <v>3.2535885167464196E-2</v>
      </c>
      <c r="S36" s="73">
        <v>3.520456707897246E-2</v>
      </c>
      <c r="T36" s="73">
        <v>4.1666666666666741E-2</v>
      </c>
      <c r="U36" s="72">
        <v>4.2213883677298281E-2</v>
      </c>
      <c r="V36" s="24">
        <v>4.2213883677298281E-2</v>
      </c>
      <c r="W36" s="73">
        <v>3.8924930491195608E-2</v>
      </c>
      <c r="X36" s="73">
        <v>4.4117647058823595E-2</v>
      </c>
      <c r="Y36" s="73">
        <v>4.8181818181818103E-2</v>
      </c>
      <c r="Z36" s="72">
        <v>5.2205220522052231E-2</v>
      </c>
      <c r="AA36" s="24">
        <v>5.2205220522052231E-2</v>
      </c>
      <c r="AB36" s="73">
        <v>5.7091882247992887E-2</v>
      </c>
      <c r="AC36" s="73">
        <v>5.8098591549295753E-2</v>
      </c>
      <c r="AD36" s="73">
        <v>6.6782307025151866E-2</v>
      </c>
      <c r="AE36" s="72">
        <v>8.0410607356715236E-2</v>
      </c>
      <c r="AF36" s="24">
        <v>8.0410607356715236E-2</v>
      </c>
      <c r="AG36" s="73">
        <v>8.7763713080168726E-2</v>
      </c>
      <c r="AH36" s="73">
        <v>8.8186356073211236E-2</v>
      </c>
      <c r="AI36" s="73">
        <v>8.5365853658536661E-2</v>
      </c>
      <c r="AJ36" s="72">
        <v>7.9968329374505043E-2</v>
      </c>
      <c r="AK36" s="24">
        <v>7.9968329374505043E-2</v>
      </c>
      <c r="AL36" s="73">
        <v>7.8355314197051884E-2</v>
      </c>
      <c r="AM36" s="73">
        <v>8.4097859327217028E-2</v>
      </c>
      <c r="AN36" s="73">
        <v>8.4644194756554381E-2</v>
      </c>
      <c r="AO36" s="72">
        <v>8.4310850439882623E-2</v>
      </c>
      <c r="AP36" s="24">
        <v>8.4310850439882623E-2</v>
      </c>
      <c r="AQ36" s="73">
        <v>8.1294964028777006E-2</v>
      </c>
      <c r="AR36" s="73">
        <v>7.2637517630465442E-2</v>
      </c>
      <c r="AS36" s="73">
        <v>6.2845303867403279E-2</v>
      </c>
      <c r="AT36" s="72">
        <v>5.3414469235970152E-2</v>
      </c>
      <c r="AU36" s="24">
        <v>5.3414469235970152E-2</v>
      </c>
      <c r="AV36" s="73">
        <v>5.1230871590153049E-2</v>
      </c>
      <c r="AW36" s="73">
        <v>4.7337278106508895E-2</v>
      </c>
      <c r="AX36" s="73">
        <v>4.4834307992202671E-2</v>
      </c>
      <c r="AY36" s="72">
        <v>4.942233632862636E-2</v>
      </c>
      <c r="AZ36" s="24">
        <v>4.942233632862636E-2</v>
      </c>
      <c r="BA36" s="73">
        <v>4.6202531645569644E-2</v>
      </c>
    </row>
    <row r="37" spans="1:53">
      <c r="A37" s="71" t="s">
        <v>222</v>
      </c>
      <c r="B37" s="24"/>
      <c r="C37" s="73"/>
      <c r="D37" s="73"/>
      <c r="E37" s="73"/>
      <c r="F37" s="73"/>
      <c r="G37" s="200">
        <v>42</v>
      </c>
      <c r="H37" s="73"/>
      <c r="I37" s="73"/>
      <c r="J37" s="73"/>
      <c r="K37" s="72"/>
      <c r="L37" s="200">
        <v>30</v>
      </c>
      <c r="M37" s="73"/>
      <c r="N37" s="73"/>
      <c r="O37" s="73"/>
      <c r="P37" s="72"/>
      <c r="Q37" s="200">
        <v>31</v>
      </c>
      <c r="R37" s="73"/>
      <c r="S37" s="73"/>
      <c r="T37" s="73"/>
      <c r="U37" s="72"/>
      <c r="V37" s="200">
        <v>45</v>
      </c>
      <c r="W37" s="73"/>
      <c r="X37" s="73"/>
      <c r="Y37" s="73"/>
      <c r="Z37" s="72"/>
      <c r="AA37" s="200">
        <v>58</v>
      </c>
      <c r="AB37" s="73"/>
      <c r="AC37" s="73"/>
      <c r="AD37" s="73"/>
      <c r="AE37" s="72"/>
      <c r="AF37" s="200">
        <v>94</v>
      </c>
      <c r="AG37" s="73"/>
      <c r="AH37" s="73"/>
      <c r="AI37" s="73"/>
      <c r="AJ37" s="72"/>
      <c r="AK37" s="200">
        <v>101</v>
      </c>
      <c r="AL37" s="73"/>
      <c r="AM37" s="197">
        <v>28</v>
      </c>
      <c r="AN37" s="197">
        <v>30</v>
      </c>
      <c r="AO37" s="197">
        <v>31</v>
      </c>
      <c r="AP37" s="200">
        <v>115</v>
      </c>
      <c r="AQ37" s="199">
        <v>24</v>
      </c>
      <c r="AR37" s="199">
        <v>18</v>
      </c>
      <c r="AS37" s="199">
        <v>18</v>
      </c>
      <c r="AT37" s="199">
        <v>19</v>
      </c>
      <c r="AU37" s="200">
        <v>79</v>
      </c>
      <c r="AV37" s="199">
        <v>22</v>
      </c>
      <c r="AW37" s="199">
        <v>13</v>
      </c>
      <c r="AX37" s="199">
        <v>15</v>
      </c>
      <c r="AY37" s="199">
        <v>27</v>
      </c>
      <c r="AZ37" s="200">
        <v>77</v>
      </c>
      <c r="BA37" s="199">
        <v>18</v>
      </c>
    </row>
    <row r="38" spans="1:53" ht="8.25" customHeight="1">
      <c r="A38" s="71"/>
      <c r="B38" s="24"/>
      <c r="C38" s="73"/>
      <c r="D38" s="73"/>
      <c r="E38" s="73"/>
      <c r="F38" s="73"/>
      <c r="G38" s="24"/>
      <c r="H38" s="73"/>
      <c r="I38" s="73"/>
      <c r="J38" s="73"/>
      <c r="K38" s="72"/>
      <c r="L38" s="24"/>
      <c r="M38" s="73"/>
      <c r="N38" s="73"/>
      <c r="O38" s="73"/>
      <c r="P38" s="72"/>
      <c r="Q38" s="24"/>
      <c r="R38" s="73"/>
      <c r="S38" s="73"/>
      <c r="T38" s="73"/>
      <c r="U38" s="72"/>
      <c r="V38" s="24"/>
      <c r="W38" s="73"/>
      <c r="X38" s="73"/>
      <c r="Y38" s="73"/>
      <c r="Z38" s="72"/>
      <c r="AA38" s="24"/>
      <c r="AB38" s="73"/>
      <c r="AC38" s="73"/>
      <c r="AD38" s="73"/>
      <c r="AE38" s="72"/>
      <c r="AF38" s="24"/>
      <c r="AG38" s="73"/>
      <c r="AH38" s="73"/>
      <c r="AI38" s="73"/>
      <c r="AJ38" s="72"/>
      <c r="AK38" s="24"/>
      <c r="AL38" s="73"/>
      <c r="AM38" s="73"/>
      <c r="AN38" s="73"/>
      <c r="AO38" s="72"/>
      <c r="AP38" s="24"/>
      <c r="AQ38" s="73"/>
      <c r="AR38" s="73"/>
      <c r="AS38" s="73"/>
      <c r="AT38" s="72"/>
      <c r="AU38" s="24"/>
      <c r="AV38" s="73"/>
      <c r="AW38" s="73"/>
      <c r="AX38" s="73"/>
      <c r="AY38" s="72"/>
      <c r="AZ38" s="24"/>
      <c r="BA38" s="73"/>
    </row>
    <row r="39" spans="1:53" ht="15.75">
      <c r="A39" s="69" t="s">
        <v>153</v>
      </c>
      <c r="B39" s="150" t="s">
        <v>152</v>
      </c>
      <c r="C39" s="83" t="s">
        <v>152</v>
      </c>
      <c r="D39" s="83" t="s">
        <v>152</v>
      </c>
      <c r="E39" s="83" t="s">
        <v>152</v>
      </c>
      <c r="F39" s="83" t="s">
        <v>152</v>
      </c>
      <c r="G39" s="150" t="s">
        <v>152</v>
      </c>
      <c r="H39" s="83" t="s">
        <v>152</v>
      </c>
      <c r="I39" s="83" t="s">
        <v>152</v>
      </c>
      <c r="J39" s="83" t="s">
        <v>152</v>
      </c>
      <c r="K39" s="83" t="s">
        <v>152</v>
      </c>
      <c r="L39" s="150" t="s">
        <v>152</v>
      </c>
      <c r="M39" s="83" t="s">
        <v>152</v>
      </c>
      <c r="N39" s="83" t="s">
        <v>152</v>
      </c>
      <c r="O39" s="83" t="s">
        <v>152</v>
      </c>
      <c r="P39" s="83" t="s">
        <v>152</v>
      </c>
      <c r="Q39" s="150" t="s">
        <v>152</v>
      </c>
      <c r="R39" s="83" t="s">
        <v>152</v>
      </c>
      <c r="S39" s="83" t="s">
        <v>152</v>
      </c>
      <c r="T39" s="83" t="s">
        <v>152</v>
      </c>
      <c r="U39" s="83" t="s">
        <v>152</v>
      </c>
      <c r="V39" s="150" t="s">
        <v>152</v>
      </c>
      <c r="W39" s="83" t="s">
        <v>152</v>
      </c>
      <c r="X39" s="83" t="s">
        <v>152</v>
      </c>
      <c r="Y39" s="83" t="s">
        <v>152</v>
      </c>
      <c r="Z39" s="83" t="s">
        <v>152</v>
      </c>
      <c r="AA39" s="150" t="s">
        <v>152</v>
      </c>
      <c r="AB39" s="149" t="s">
        <v>152</v>
      </c>
      <c r="AC39" s="149" t="s">
        <v>152</v>
      </c>
      <c r="AD39" s="149" t="s">
        <v>152</v>
      </c>
      <c r="AE39" s="149" t="s">
        <v>152</v>
      </c>
      <c r="AF39" s="150" t="s">
        <v>152</v>
      </c>
      <c r="AG39" s="149" t="s">
        <v>152</v>
      </c>
      <c r="AH39" s="149" t="s">
        <v>152</v>
      </c>
      <c r="AI39" s="149" t="s">
        <v>152</v>
      </c>
      <c r="AJ39" s="149" t="s">
        <v>152</v>
      </c>
      <c r="AK39" s="150" t="s">
        <v>152</v>
      </c>
      <c r="AL39" s="70">
        <v>11</v>
      </c>
      <c r="AM39" s="70">
        <v>78</v>
      </c>
      <c r="AN39" s="70">
        <v>177</v>
      </c>
      <c r="AO39" s="70">
        <v>244</v>
      </c>
      <c r="AP39" s="37">
        <v>244</v>
      </c>
      <c r="AQ39" s="70">
        <v>290</v>
      </c>
      <c r="AR39" s="70">
        <v>323</v>
      </c>
      <c r="AS39" s="70">
        <v>347</v>
      </c>
      <c r="AT39" s="70">
        <v>377</v>
      </c>
      <c r="AU39" s="37">
        <v>377</v>
      </c>
      <c r="AV39" s="70">
        <v>414</v>
      </c>
      <c r="AW39" s="70">
        <v>444</v>
      </c>
      <c r="AX39" s="70">
        <v>484</v>
      </c>
      <c r="AY39" s="70">
        <v>532</v>
      </c>
      <c r="AZ39" s="37">
        <v>532</v>
      </c>
      <c r="BA39" s="70">
        <v>574</v>
      </c>
    </row>
    <row r="40" spans="1:53">
      <c r="A40" s="71" t="s">
        <v>7</v>
      </c>
      <c r="B40" s="24"/>
      <c r="C40" s="73"/>
      <c r="D40" s="73"/>
      <c r="E40" s="73"/>
      <c r="F40" s="73"/>
      <c r="G40" s="24"/>
      <c r="H40" s="73"/>
      <c r="I40" s="73"/>
      <c r="J40" s="73"/>
      <c r="K40" s="72"/>
      <c r="L40" s="24"/>
      <c r="M40" s="73"/>
      <c r="N40" s="73"/>
      <c r="O40" s="73"/>
      <c r="P40" s="72"/>
      <c r="Q40" s="24"/>
      <c r="R40" s="73"/>
      <c r="S40" s="73"/>
      <c r="T40" s="73"/>
      <c r="U40" s="72"/>
      <c r="V40" s="24"/>
      <c r="W40" s="73"/>
      <c r="X40" s="73"/>
      <c r="Y40" s="73"/>
      <c r="Z40" s="72"/>
      <c r="AA40" s="24"/>
      <c r="AB40" s="73"/>
      <c r="AC40" s="73"/>
      <c r="AD40" s="73"/>
      <c r="AE40" s="72"/>
      <c r="AF40" s="24"/>
      <c r="AG40" s="73"/>
      <c r="AH40" s="73"/>
      <c r="AI40" s="73"/>
      <c r="AJ40" s="72"/>
      <c r="AK40" s="24"/>
      <c r="AL40" s="73"/>
      <c r="AM40" s="72">
        <v>6.0909090909090908</v>
      </c>
      <c r="AN40" s="72">
        <v>1.2692307692307692</v>
      </c>
      <c r="AO40" s="72">
        <v>0.37853107344632764</v>
      </c>
      <c r="AP40" s="24"/>
      <c r="AQ40" s="72">
        <v>0.18852459016393452</v>
      </c>
      <c r="AR40" s="72">
        <v>0.11379310344827576</v>
      </c>
      <c r="AS40" s="72">
        <v>7.4303405572755388E-2</v>
      </c>
      <c r="AT40" s="72">
        <v>8.6455331412103709E-2</v>
      </c>
      <c r="AU40" s="24"/>
      <c r="AV40" s="72">
        <v>9.8143236074270668E-2</v>
      </c>
      <c r="AW40" s="72">
        <v>7.2463768115942129E-2</v>
      </c>
      <c r="AX40" s="72">
        <v>9.0090090090090058E-2</v>
      </c>
      <c r="AY40" s="72">
        <v>9.9173553719008156E-2</v>
      </c>
      <c r="AZ40" s="24"/>
      <c r="BA40" s="72">
        <v>7.8947368421052655E-2</v>
      </c>
    </row>
    <row r="41" spans="1:53">
      <c r="A41" s="71" t="s">
        <v>8</v>
      </c>
      <c r="B41" s="24"/>
      <c r="C41" s="73"/>
      <c r="D41" s="73"/>
      <c r="E41" s="73"/>
      <c r="F41" s="73"/>
      <c r="G41" s="24"/>
      <c r="H41" s="73"/>
      <c r="I41" s="73"/>
      <c r="J41" s="73"/>
      <c r="K41" s="72"/>
      <c r="L41" s="24"/>
      <c r="M41" s="73"/>
      <c r="N41" s="73"/>
      <c r="O41" s="73"/>
      <c r="P41" s="72"/>
      <c r="Q41" s="24"/>
      <c r="R41" s="73"/>
      <c r="S41" s="73"/>
      <c r="T41" s="73"/>
      <c r="U41" s="72"/>
      <c r="V41" s="24"/>
      <c r="W41" s="73"/>
      <c r="X41" s="73"/>
      <c r="Y41" s="73"/>
      <c r="Z41" s="72"/>
      <c r="AA41" s="24"/>
      <c r="AB41" s="73"/>
      <c r="AC41" s="73"/>
      <c r="AD41" s="73"/>
      <c r="AE41" s="72"/>
      <c r="AF41" s="24"/>
      <c r="AG41" s="73"/>
      <c r="AH41" s="73"/>
      <c r="AI41" s="73"/>
      <c r="AJ41" s="72"/>
      <c r="AK41" s="24"/>
      <c r="AL41" s="73"/>
      <c r="AM41" s="73"/>
      <c r="AN41" s="73"/>
      <c r="AO41" s="72"/>
      <c r="AP41" s="24"/>
      <c r="AQ41" s="73">
        <v>25.363636363636363</v>
      </c>
      <c r="AR41" s="73">
        <v>3.1410256410256414</v>
      </c>
      <c r="AS41" s="73">
        <v>0.96045197740112997</v>
      </c>
      <c r="AT41" s="72"/>
      <c r="AU41" s="24">
        <v>0.54508196721311486</v>
      </c>
      <c r="AV41" s="73">
        <v>0.42758620689655169</v>
      </c>
      <c r="AW41" s="73">
        <v>0.37461300309597534</v>
      </c>
      <c r="AX41" s="73">
        <v>0.39481268011527382</v>
      </c>
      <c r="AY41" s="72">
        <v>0.41114058355437666</v>
      </c>
      <c r="AZ41" s="24">
        <v>0.41114058355437666</v>
      </c>
      <c r="BA41" s="73">
        <v>0.38647342995169076</v>
      </c>
    </row>
    <row r="42" spans="1:53">
      <c r="A42" s="71" t="s">
        <v>222</v>
      </c>
      <c r="B42" s="24"/>
      <c r="C42" s="73"/>
      <c r="D42" s="73"/>
      <c r="E42" s="73"/>
      <c r="F42" s="73"/>
      <c r="G42" s="24"/>
      <c r="H42" s="73"/>
      <c r="I42" s="73"/>
      <c r="J42" s="73"/>
      <c r="K42" s="72"/>
      <c r="L42" s="24"/>
      <c r="M42" s="73"/>
      <c r="N42" s="73"/>
      <c r="O42" s="73"/>
      <c r="P42" s="72"/>
      <c r="Q42" s="24"/>
      <c r="R42" s="73"/>
      <c r="S42" s="73"/>
      <c r="T42" s="73"/>
      <c r="U42" s="72"/>
      <c r="V42" s="24"/>
      <c r="W42" s="73"/>
      <c r="X42" s="73"/>
      <c r="Y42" s="73"/>
      <c r="Z42" s="72"/>
      <c r="AA42" s="24"/>
      <c r="AB42" s="73"/>
      <c r="AC42" s="73"/>
      <c r="AD42" s="73"/>
      <c r="AE42" s="72"/>
      <c r="AF42" s="24"/>
      <c r="AG42" s="73"/>
      <c r="AH42" s="73"/>
      <c r="AI42" s="73"/>
      <c r="AJ42" s="72"/>
      <c r="AK42" s="24"/>
      <c r="AL42" s="73"/>
      <c r="AM42" s="197">
        <v>67</v>
      </c>
      <c r="AN42" s="197">
        <v>99</v>
      </c>
      <c r="AO42" s="197">
        <v>67</v>
      </c>
      <c r="AP42" s="198"/>
      <c r="AQ42" s="199">
        <v>46</v>
      </c>
      <c r="AR42" s="199">
        <v>33</v>
      </c>
      <c r="AS42" s="199">
        <v>24</v>
      </c>
      <c r="AT42" s="199">
        <v>30</v>
      </c>
      <c r="AU42" s="200">
        <v>133</v>
      </c>
      <c r="AV42" s="199">
        <v>37</v>
      </c>
      <c r="AW42" s="199">
        <v>30</v>
      </c>
      <c r="AX42" s="199">
        <v>40</v>
      </c>
      <c r="AY42" s="199">
        <v>48</v>
      </c>
      <c r="AZ42" s="200">
        <v>155</v>
      </c>
      <c r="BA42" s="199">
        <v>42</v>
      </c>
    </row>
    <row r="43" spans="1:53">
      <c r="A43" s="71" t="s">
        <v>225</v>
      </c>
      <c r="B43" s="24"/>
      <c r="C43" s="73"/>
      <c r="D43" s="73"/>
      <c r="E43" s="73"/>
      <c r="F43" s="73"/>
      <c r="G43" s="24"/>
      <c r="H43" s="73"/>
      <c r="I43" s="73"/>
      <c r="J43" s="73"/>
      <c r="K43" s="72"/>
      <c r="L43" s="24"/>
      <c r="M43" s="73"/>
      <c r="N43" s="73"/>
      <c r="O43" s="73"/>
      <c r="P43" s="72"/>
      <c r="Q43" s="24"/>
      <c r="R43" s="73"/>
      <c r="S43" s="73"/>
      <c r="T43" s="73"/>
      <c r="U43" s="72"/>
      <c r="V43" s="24"/>
      <c r="W43" s="73"/>
      <c r="X43" s="73"/>
      <c r="Y43" s="73"/>
      <c r="Z43" s="72"/>
      <c r="AA43" s="24"/>
      <c r="AB43" s="73"/>
      <c r="AC43" s="73"/>
      <c r="AD43" s="73"/>
      <c r="AE43" s="72"/>
      <c r="AF43" s="24"/>
      <c r="AG43" s="73"/>
      <c r="AH43" s="73"/>
      <c r="AI43" s="73"/>
      <c r="AJ43" s="72"/>
      <c r="AK43" s="24"/>
      <c r="AL43" s="201">
        <v>7.9136690647482015E-3</v>
      </c>
      <c r="AM43" s="201">
        <v>5.5007052186177713E-2</v>
      </c>
      <c r="AN43" s="201">
        <v>0.12223756906077347</v>
      </c>
      <c r="AO43" s="201">
        <v>0.1649763353617309</v>
      </c>
      <c r="AP43" s="202">
        <v>0.1649763353617309</v>
      </c>
      <c r="AQ43" s="201">
        <v>0.19294743845642048</v>
      </c>
      <c r="AR43" s="201">
        <v>0.2123602892833662</v>
      </c>
      <c r="AS43" s="201">
        <v>0.22547108512020791</v>
      </c>
      <c r="AT43" s="201">
        <v>0.24197689345314505</v>
      </c>
      <c r="AU43" s="202">
        <v>0.24197689345314505</v>
      </c>
      <c r="AV43" s="201">
        <v>0.26202531645569621</v>
      </c>
      <c r="AW43" s="201">
        <v>0.27871939736346518</v>
      </c>
      <c r="AX43" s="201">
        <v>0.30099502487562191</v>
      </c>
      <c r="AY43" s="201">
        <v>0.3253822629969419</v>
      </c>
      <c r="AZ43" s="202">
        <v>0.3253822629969419</v>
      </c>
      <c r="BA43" s="201">
        <v>0.3472474289171204</v>
      </c>
    </row>
    <row r="44" spans="1:53" ht="6" customHeight="1">
      <c r="A44" s="71"/>
      <c r="B44" s="24"/>
      <c r="C44" s="73"/>
      <c r="D44" s="73"/>
      <c r="E44" s="73"/>
      <c r="F44" s="73"/>
      <c r="G44" s="24"/>
      <c r="H44" s="73"/>
      <c r="I44" s="73"/>
      <c r="J44" s="73"/>
      <c r="K44" s="72"/>
      <c r="L44" s="24"/>
      <c r="M44" s="73"/>
      <c r="N44" s="73"/>
      <c r="O44" s="73"/>
      <c r="P44" s="72"/>
      <c r="Q44" s="24"/>
      <c r="R44" s="73"/>
      <c r="S44" s="73"/>
      <c r="T44" s="73"/>
      <c r="U44" s="72"/>
      <c r="V44" s="24"/>
      <c r="W44" s="73"/>
      <c r="X44" s="73"/>
      <c r="Y44" s="73"/>
      <c r="Z44" s="72"/>
      <c r="AA44" s="24"/>
      <c r="AB44" s="73"/>
      <c r="AC44" s="73"/>
      <c r="AD44" s="73"/>
      <c r="AE44" s="72"/>
      <c r="AF44" s="24"/>
      <c r="AG44" s="73"/>
      <c r="AH44" s="73"/>
      <c r="AI44" s="73"/>
      <c r="AJ44" s="72"/>
      <c r="AK44" s="24"/>
      <c r="AL44" s="73"/>
      <c r="AM44" s="73"/>
      <c r="AN44" s="73"/>
      <c r="AO44" s="72"/>
      <c r="AP44" s="24"/>
      <c r="AQ44" s="73"/>
      <c r="AR44" s="73"/>
      <c r="AS44" s="73"/>
      <c r="AT44" s="72"/>
      <c r="AU44" s="24"/>
      <c r="AV44" s="73"/>
      <c r="AW44" s="73"/>
      <c r="AX44" s="73"/>
      <c r="AY44" s="72"/>
      <c r="AZ44" s="24"/>
      <c r="BA44" s="73"/>
    </row>
    <row r="45" spans="1:53">
      <c r="A45" s="69" t="s">
        <v>216</v>
      </c>
      <c r="B45" s="38">
        <v>963</v>
      </c>
      <c r="C45" s="69">
        <v>970</v>
      </c>
      <c r="D45" s="69">
        <v>982</v>
      </c>
      <c r="E45" s="69">
        <v>994</v>
      </c>
      <c r="F45" s="70">
        <v>1005</v>
      </c>
      <c r="G45" s="38">
        <v>1005</v>
      </c>
      <c r="H45" s="70">
        <v>1011</v>
      </c>
      <c r="I45" s="70">
        <v>1016</v>
      </c>
      <c r="J45" s="70">
        <v>1026</v>
      </c>
      <c r="K45" s="70">
        <v>1035</v>
      </c>
      <c r="L45" s="37">
        <v>1035</v>
      </c>
      <c r="M45" s="70">
        <v>1045</v>
      </c>
      <c r="N45" s="70">
        <v>1051</v>
      </c>
      <c r="O45" s="70">
        <v>1056</v>
      </c>
      <c r="P45" s="70">
        <v>1066</v>
      </c>
      <c r="Q45" s="37">
        <v>1066</v>
      </c>
      <c r="R45" s="70">
        <v>1079</v>
      </c>
      <c r="S45" s="70">
        <v>1088</v>
      </c>
      <c r="T45" s="70">
        <v>1100</v>
      </c>
      <c r="U45" s="70">
        <v>1111</v>
      </c>
      <c r="V45" s="37">
        <v>1111</v>
      </c>
      <c r="W45" s="70">
        <v>1121</v>
      </c>
      <c r="X45" s="70">
        <v>1136</v>
      </c>
      <c r="Y45" s="70">
        <v>1153</v>
      </c>
      <c r="Z45" s="70">
        <v>1169</v>
      </c>
      <c r="AA45" s="37">
        <v>1169</v>
      </c>
      <c r="AB45" s="70">
        <v>1185</v>
      </c>
      <c r="AC45" s="70">
        <v>1202</v>
      </c>
      <c r="AD45" s="70">
        <v>1230</v>
      </c>
      <c r="AE45" s="70">
        <v>1263</v>
      </c>
      <c r="AF45" s="37">
        <v>1263</v>
      </c>
      <c r="AG45" s="70">
        <v>1289</v>
      </c>
      <c r="AH45" s="70">
        <v>1308</v>
      </c>
      <c r="AI45" s="70">
        <v>1335</v>
      </c>
      <c r="AJ45" s="70">
        <v>1364</v>
      </c>
      <c r="AK45" s="37">
        <v>1364</v>
      </c>
      <c r="AL45" s="70">
        <v>1379</v>
      </c>
      <c r="AM45" s="70">
        <v>1340</v>
      </c>
      <c r="AN45" s="70">
        <v>1271</v>
      </c>
      <c r="AO45" s="70">
        <v>1235</v>
      </c>
      <c r="AP45" s="37">
        <v>1235</v>
      </c>
      <c r="AQ45" s="70">
        <v>1213</v>
      </c>
      <c r="AR45" s="70">
        <v>1198</v>
      </c>
      <c r="AS45" s="70">
        <v>1192</v>
      </c>
      <c r="AT45" s="70">
        <v>1181</v>
      </c>
      <c r="AU45" s="37">
        <v>1181</v>
      </c>
      <c r="AV45" s="70">
        <v>1166</v>
      </c>
      <c r="AW45" s="70">
        <v>1149</v>
      </c>
      <c r="AX45" s="70">
        <v>1124</v>
      </c>
      <c r="AY45" s="70">
        <v>1103</v>
      </c>
      <c r="AZ45" s="37">
        <v>1103</v>
      </c>
      <c r="BA45" s="70">
        <v>1079</v>
      </c>
    </row>
    <row r="46" spans="1:53">
      <c r="A46" s="71" t="s">
        <v>7</v>
      </c>
      <c r="B46" s="24"/>
      <c r="C46" s="72"/>
      <c r="D46" s="72">
        <f>D45/C45-1</f>
        <v>1.2371134020618513E-2</v>
      </c>
      <c r="E46" s="72">
        <f>E45/D45-1</f>
        <v>1.2219959266802416E-2</v>
      </c>
      <c r="F46" s="72">
        <f>F45/E45-1</f>
        <v>1.1066398390342069E-2</v>
      </c>
      <c r="G46" s="24"/>
      <c r="H46" s="72">
        <v>5.9701492537314049E-3</v>
      </c>
      <c r="I46" s="72">
        <v>4.9455984174084922E-3</v>
      </c>
      <c r="J46" s="72">
        <v>9.8425196850393526E-3</v>
      </c>
      <c r="K46" s="72">
        <v>8.7719298245614308E-3</v>
      </c>
      <c r="L46" s="24"/>
      <c r="M46" s="72">
        <v>9.6618357487923134E-3</v>
      </c>
      <c r="N46" s="72">
        <v>5.7416267942582699E-3</v>
      </c>
      <c r="O46" s="72">
        <v>4.7573739295909689E-3</v>
      </c>
      <c r="P46" s="72">
        <v>9.4696969696970168E-3</v>
      </c>
      <c r="Q46" s="24"/>
      <c r="R46" s="72">
        <v>1.2195121951219523E-2</v>
      </c>
      <c r="S46" s="72">
        <v>8.3410565338275511E-3</v>
      </c>
      <c r="T46" s="72">
        <v>1.1029411764705843E-2</v>
      </c>
      <c r="U46" s="72">
        <v>1.0000000000000009E-2</v>
      </c>
      <c r="V46" s="24"/>
      <c r="W46" s="72">
        <v>9.0009000900090896E-3</v>
      </c>
      <c r="X46" s="72">
        <v>1.338090990187335E-2</v>
      </c>
      <c r="Y46" s="72">
        <v>1.4964788732394263E-2</v>
      </c>
      <c r="Z46" s="72">
        <v>1.3876843018213458E-2</v>
      </c>
      <c r="AA46" s="24"/>
      <c r="AB46" s="72">
        <v>1.3686911890504749E-2</v>
      </c>
      <c r="AC46" s="72">
        <v>1.4345991561181437E-2</v>
      </c>
      <c r="AD46" s="72">
        <v>2.3294509151414289E-2</v>
      </c>
      <c r="AE46" s="72">
        <v>2.6829268292682951E-2</v>
      </c>
      <c r="AF46" s="24"/>
      <c r="AG46" s="72">
        <v>2.0585906571654711E-2</v>
      </c>
      <c r="AH46" s="72">
        <v>1.4740108611326574E-2</v>
      </c>
      <c r="AI46" s="72">
        <v>2.0642201834862428E-2</v>
      </c>
      <c r="AJ46" s="72">
        <v>2.1722846441947663E-2</v>
      </c>
      <c r="AK46" s="24"/>
      <c r="AL46" s="72">
        <v>1.0997067448680342E-2</v>
      </c>
      <c r="AM46" s="72">
        <v>-2.8281363306744023E-2</v>
      </c>
      <c r="AN46" s="72">
        <v>-5.149253731343284E-2</v>
      </c>
      <c r="AO46" s="72">
        <v>-2.8324154209284025E-2</v>
      </c>
      <c r="AP46" s="24"/>
      <c r="AQ46" s="72">
        <v>-1.7813765182186247E-2</v>
      </c>
      <c r="AR46" s="72">
        <v>-1.2366034624896938E-2</v>
      </c>
      <c r="AS46" s="72">
        <v>-5.008347245408995E-3</v>
      </c>
      <c r="AT46" s="72">
        <v>-9.2281879194631156E-3</v>
      </c>
      <c r="AU46" s="24"/>
      <c r="AV46" s="72">
        <v>-1.2701100762066098E-2</v>
      </c>
      <c r="AW46" s="72">
        <v>-1.4579759862778707E-2</v>
      </c>
      <c r="AX46" s="72">
        <v>-2.1758050478677071E-2</v>
      </c>
      <c r="AY46" s="72">
        <v>-1.8683274021352281E-2</v>
      </c>
      <c r="AZ46" s="24"/>
      <c r="BA46" s="72">
        <v>-2.1758839528558505E-2</v>
      </c>
    </row>
    <row r="47" spans="1:53">
      <c r="A47" s="71" t="s">
        <v>8</v>
      </c>
      <c r="B47" s="24"/>
      <c r="C47" s="73"/>
      <c r="D47" s="73"/>
      <c r="E47" s="73"/>
      <c r="F47" s="73"/>
      <c r="G47" s="24">
        <v>4.3613707165109039E-2</v>
      </c>
      <c r="H47" s="73">
        <v>4.2268041237113474E-2</v>
      </c>
      <c r="I47" s="73">
        <v>3.4623217922606919E-2</v>
      </c>
      <c r="J47" s="73">
        <v>3.2193158953722323E-2</v>
      </c>
      <c r="K47" s="72">
        <v>2.9850746268656803E-2</v>
      </c>
      <c r="L47" s="24">
        <v>2.9850746268656803E-2</v>
      </c>
      <c r="M47" s="73">
        <v>3.3630069238377747E-2</v>
      </c>
      <c r="N47" s="73">
        <v>3.4448818897637734E-2</v>
      </c>
      <c r="O47" s="73">
        <v>2.9239766081871288E-2</v>
      </c>
      <c r="P47" s="72">
        <v>2.9951690821256038E-2</v>
      </c>
      <c r="Q47" s="24">
        <v>2.9951690821256038E-2</v>
      </c>
      <c r="R47" s="73">
        <v>3.2535885167464196E-2</v>
      </c>
      <c r="S47" s="73">
        <v>3.520456707897246E-2</v>
      </c>
      <c r="T47" s="73">
        <v>4.1666666666666741E-2</v>
      </c>
      <c r="U47" s="72">
        <v>4.2213883677298281E-2</v>
      </c>
      <c r="V47" s="24">
        <v>4.2213883677298281E-2</v>
      </c>
      <c r="W47" s="73">
        <v>3.8924930491195608E-2</v>
      </c>
      <c r="X47" s="73">
        <v>4.4117647058823595E-2</v>
      </c>
      <c r="Y47" s="73">
        <v>4.8181818181818103E-2</v>
      </c>
      <c r="Z47" s="72">
        <v>5.2205220522052231E-2</v>
      </c>
      <c r="AA47" s="24">
        <v>5.2205220522052231E-2</v>
      </c>
      <c r="AB47" s="73">
        <v>5.7091882247992887E-2</v>
      </c>
      <c r="AC47" s="73">
        <v>5.8098591549295753E-2</v>
      </c>
      <c r="AD47" s="73">
        <v>6.6782307025151866E-2</v>
      </c>
      <c r="AE47" s="72">
        <v>8.0410607356715236E-2</v>
      </c>
      <c r="AF47" s="24">
        <v>8.0410607356715236E-2</v>
      </c>
      <c r="AG47" s="73">
        <v>8.7763713080168726E-2</v>
      </c>
      <c r="AH47" s="73">
        <v>8.8186356073211236E-2</v>
      </c>
      <c r="AI47" s="73">
        <v>8.5365853658536661E-2</v>
      </c>
      <c r="AJ47" s="72">
        <v>7.9968329374505043E-2</v>
      </c>
      <c r="AK47" s="24">
        <v>7.9968329374505043E-2</v>
      </c>
      <c r="AL47" s="73">
        <v>6.9821567106283844E-2</v>
      </c>
      <c r="AM47" s="73">
        <v>2.4464831804281273E-2</v>
      </c>
      <c r="AN47" s="73">
        <v>-4.7940074906367092E-2</v>
      </c>
      <c r="AO47" s="72">
        <v>-9.4574780058651053E-2</v>
      </c>
      <c r="AP47" s="24">
        <v>-9.4574780058651053E-2</v>
      </c>
      <c r="AQ47" s="73">
        <v>-0.12037708484408993</v>
      </c>
      <c r="AR47" s="73">
        <v>-0.10597014925373138</v>
      </c>
      <c r="AS47" s="73">
        <v>-6.2155782848151042E-2</v>
      </c>
      <c r="AT47" s="72">
        <v>-4.3724696356275294E-2</v>
      </c>
      <c r="AU47" s="24">
        <v>-4.3724696356275294E-2</v>
      </c>
      <c r="AV47" s="73">
        <v>-3.8746908491343768E-2</v>
      </c>
      <c r="AW47" s="73">
        <v>-4.090150250417357E-2</v>
      </c>
      <c r="AX47" s="73">
        <v>-5.7046979865771785E-2</v>
      </c>
      <c r="AY47" s="72">
        <v>-6.6045723962743441E-2</v>
      </c>
      <c r="AZ47" s="24">
        <v>-6.6045723962743441E-2</v>
      </c>
      <c r="BA47" s="73">
        <v>-7.461406518010294E-2</v>
      </c>
    </row>
    <row r="48" spans="1:53">
      <c r="A48" s="71" t="s">
        <v>222</v>
      </c>
      <c r="B48" s="24"/>
      <c r="C48" s="73"/>
      <c r="D48" s="73"/>
      <c r="E48" s="73"/>
      <c r="F48" s="73"/>
      <c r="G48" s="200">
        <v>42</v>
      </c>
      <c r="H48" s="73"/>
      <c r="I48" s="73"/>
      <c r="J48" s="73"/>
      <c r="K48" s="72"/>
      <c r="L48" s="200">
        <v>30</v>
      </c>
      <c r="M48" s="73"/>
      <c r="N48" s="73"/>
      <c r="O48" s="73"/>
      <c r="P48" s="72"/>
      <c r="Q48" s="200">
        <v>31</v>
      </c>
      <c r="R48" s="73"/>
      <c r="S48" s="73"/>
      <c r="T48" s="73"/>
      <c r="U48" s="72"/>
      <c r="V48" s="200">
        <v>45</v>
      </c>
      <c r="W48" s="73"/>
      <c r="X48" s="73"/>
      <c r="Y48" s="73"/>
      <c r="Z48" s="72"/>
      <c r="AA48" s="200">
        <v>58</v>
      </c>
      <c r="AB48" s="73"/>
      <c r="AC48" s="73"/>
      <c r="AD48" s="73"/>
      <c r="AE48" s="72"/>
      <c r="AF48" s="200">
        <v>94</v>
      </c>
      <c r="AG48" s="73"/>
      <c r="AH48" s="73"/>
      <c r="AI48" s="73"/>
      <c r="AJ48" s="72"/>
      <c r="AK48" s="200">
        <v>101</v>
      </c>
      <c r="AL48" s="73"/>
      <c r="AM48" s="197">
        <v>-39</v>
      </c>
      <c r="AN48" s="197">
        <v>-69</v>
      </c>
      <c r="AO48" s="197">
        <v>-36</v>
      </c>
      <c r="AP48" s="200">
        <v>-129</v>
      </c>
      <c r="AQ48" s="199">
        <v>-22</v>
      </c>
      <c r="AR48" s="199">
        <v>-15</v>
      </c>
      <c r="AS48" s="199">
        <v>-6</v>
      </c>
      <c r="AT48" s="199">
        <v>-11</v>
      </c>
      <c r="AU48" s="200">
        <v>-54</v>
      </c>
      <c r="AV48" s="199">
        <v>-15</v>
      </c>
      <c r="AW48" s="199">
        <v>-17</v>
      </c>
      <c r="AX48" s="199">
        <v>-25</v>
      </c>
      <c r="AY48" s="199">
        <v>-21</v>
      </c>
      <c r="AZ48" s="200">
        <v>-78</v>
      </c>
      <c r="BA48" s="199">
        <v>-24</v>
      </c>
    </row>
    <row r="49" spans="1:202" ht="8.25" customHeight="1">
      <c r="A49" s="71"/>
      <c r="B49" s="24"/>
      <c r="C49" s="73"/>
      <c r="D49" s="73"/>
      <c r="E49" s="73"/>
      <c r="F49" s="73"/>
      <c r="G49" s="24"/>
      <c r="H49" s="73"/>
      <c r="I49" s="73"/>
      <c r="J49" s="73"/>
      <c r="K49" s="72"/>
      <c r="L49" s="24"/>
      <c r="M49" s="73"/>
      <c r="N49" s="73"/>
      <c r="O49" s="73"/>
      <c r="P49" s="72"/>
      <c r="Q49" s="24"/>
      <c r="R49" s="73"/>
      <c r="S49" s="73"/>
      <c r="T49" s="73"/>
      <c r="U49" s="72"/>
      <c r="V49" s="24"/>
      <c r="W49" s="73"/>
      <c r="X49" s="73"/>
      <c r="Y49" s="73"/>
      <c r="Z49" s="72"/>
      <c r="AA49" s="24"/>
      <c r="AB49" s="73"/>
      <c r="AC49" s="73"/>
      <c r="AD49" s="73"/>
      <c r="AE49" s="72"/>
      <c r="AF49" s="24"/>
      <c r="AG49" s="73"/>
      <c r="AH49" s="73"/>
      <c r="AI49" s="73"/>
      <c r="AJ49" s="72"/>
      <c r="AK49" s="24"/>
      <c r="AL49" s="73"/>
      <c r="AM49" s="73"/>
      <c r="AN49" s="73"/>
      <c r="AO49" s="72"/>
      <c r="AP49" s="24"/>
      <c r="AQ49" s="73"/>
      <c r="AR49" s="73"/>
      <c r="AS49" s="73"/>
      <c r="AT49" s="72"/>
      <c r="AU49" s="24"/>
      <c r="AV49" s="73"/>
      <c r="AW49" s="73"/>
      <c r="AX49" s="73"/>
      <c r="AY49" s="72"/>
      <c r="AZ49" s="24"/>
      <c r="BA49" s="73"/>
    </row>
    <row r="50" spans="1:202" s="2" customFormat="1">
      <c r="A50" s="69" t="s">
        <v>157</v>
      </c>
      <c r="B50" s="63">
        <v>64</v>
      </c>
      <c r="C50" s="76">
        <v>68</v>
      </c>
      <c r="D50" s="76">
        <v>66</v>
      </c>
      <c r="E50" s="76">
        <v>67</v>
      </c>
      <c r="F50" s="76">
        <v>66</v>
      </c>
      <c r="G50" s="63">
        <v>67</v>
      </c>
      <c r="H50" s="76">
        <v>67</v>
      </c>
      <c r="I50" s="76">
        <v>67</v>
      </c>
      <c r="J50" s="76">
        <v>70</v>
      </c>
      <c r="K50" s="70">
        <v>70</v>
      </c>
      <c r="L50" s="28">
        <v>69</v>
      </c>
      <c r="M50" s="76">
        <v>73</v>
      </c>
      <c r="N50" s="76">
        <v>72</v>
      </c>
      <c r="O50" s="76">
        <v>76</v>
      </c>
      <c r="P50" s="70">
        <v>78</v>
      </c>
      <c r="Q50" s="28">
        <v>75</v>
      </c>
      <c r="R50" s="76">
        <v>79</v>
      </c>
      <c r="S50" s="76">
        <v>80</v>
      </c>
      <c r="T50" s="76">
        <v>81</v>
      </c>
      <c r="U50" s="70">
        <v>81</v>
      </c>
      <c r="V50" s="28">
        <v>80</v>
      </c>
      <c r="W50" s="76">
        <v>84</v>
      </c>
      <c r="X50" s="76">
        <v>80</v>
      </c>
      <c r="Y50" s="76">
        <v>80</v>
      </c>
      <c r="Z50" s="70">
        <v>80</v>
      </c>
      <c r="AA50" s="28">
        <v>81</v>
      </c>
      <c r="AB50" s="76">
        <v>83</v>
      </c>
      <c r="AC50" s="76">
        <v>85</v>
      </c>
      <c r="AD50" s="76">
        <v>86</v>
      </c>
      <c r="AE50" s="70">
        <v>82</v>
      </c>
      <c r="AF50" s="28">
        <v>84</v>
      </c>
      <c r="AG50" s="76">
        <v>82</v>
      </c>
      <c r="AH50" s="76">
        <v>84</v>
      </c>
      <c r="AI50" s="76">
        <v>85</v>
      </c>
      <c r="AJ50" s="70">
        <v>85</v>
      </c>
      <c r="AK50" s="28">
        <v>84</v>
      </c>
      <c r="AL50" s="76">
        <v>87</v>
      </c>
      <c r="AM50" s="76">
        <v>88</v>
      </c>
      <c r="AN50" s="76">
        <v>88</v>
      </c>
      <c r="AO50" s="70">
        <v>88</v>
      </c>
      <c r="AP50" s="28">
        <v>88</v>
      </c>
      <c r="AQ50" s="76">
        <v>90</v>
      </c>
      <c r="AR50" s="76">
        <v>90</v>
      </c>
      <c r="AS50" s="76">
        <v>88</v>
      </c>
      <c r="AT50" s="70">
        <v>90</v>
      </c>
      <c r="AU50" s="28">
        <v>89</v>
      </c>
      <c r="AV50" s="76">
        <v>90</v>
      </c>
      <c r="AW50" s="76">
        <v>90</v>
      </c>
      <c r="AX50" s="76">
        <v>90</v>
      </c>
      <c r="AY50" s="70">
        <v>92</v>
      </c>
      <c r="AZ50" s="28">
        <v>90</v>
      </c>
      <c r="BA50" s="76">
        <v>92</v>
      </c>
      <c r="BB50" s="3"/>
      <c r="BC50" s="3"/>
      <c r="BD50" s="3"/>
      <c r="BE50" s="3"/>
      <c r="BF50" s="3"/>
      <c r="BG50" s="3"/>
      <c r="BH50" s="3"/>
      <c r="BI50" s="36"/>
      <c r="BJ50" s="36"/>
      <c r="BK50" s="36"/>
      <c r="BL50" s="36"/>
      <c r="BM50" s="36"/>
      <c r="BN50" s="36"/>
      <c r="BO50" s="36"/>
      <c r="BP50" s="36"/>
      <c r="BQ50" s="36"/>
      <c r="BR50" s="36"/>
      <c r="BS50" s="36"/>
      <c r="BT50" s="36"/>
      <c r="BU50" s="36"/>
      <c r="BV50" s="36"/>
      <c r="BW50" s="36"/>
      <c r="BX50" s="36"/>
      <c r="BY50" s="36"/>
      <c r="BZ50" s="36"/>
      <c r="CA50" s="36"/>
      <c r="CB50" s="36"/>
      <c r="CC50" s="36"/>
      <c r="CD50" s="36"/>
      <c r="CE50" s="36"/>
      <c r="CF50" s="36"/>
      <c r="CG50" s="36"/>
      <c r="CH50" s="36"/>
      <c r="CI50" s="36"/>
      <c r="CJ50" s="36"/>
      <c r="CK50" s="36"/>
      <c r="CL50" s="36"/>
      <c r="CM50" s="36"/>
      <c r="CN50" s="36"/>
      <c r="CO50" s="36"/>
      <c r="CP50" s="36"/>
      <c r="CQ50" s="36"/>
      <c r="CR50" s="36"/>
      <c r="CS50" s="36"/>
      <c r="CT50" s="36"/>
      <c r="CU50" s="36"/>
      <c r="CV50" s="36"/>
      <c r="CW50" s="36"/>
      <c r="CX50" s="36"/>
      <c r="CY50" s="36"/>
      <c r="CZ50" s="36"/>
      <c r="DA50" s="36"/>
      <c r="DB50" s="36"/>
      <c r="DC50" s="36"/>
      <c r="DD50" s="36"/>
      <c r="DE50" s="36"/>
      <c r="DF50" s="36"/>
      <c r="DG50" s="36"/>
      <c r="DH50" s="36"/>
      <c r="DI50" s="36"/>
      <c r="DJ50" s="36"/>
      <c r="DK50" s="36"/>
      <c r="DL50" s="36"/>
      <c r="DM50" s="36"/>
      <c r="DN50" s="36"/>
      <c r="DO50" s="36"/>
      <c r="DP50" s="36"/>
      <c r="DQ50" s="36"/>
      <c r="DR50" s="36"/>
      <c r="DS50" s="36"/>
      <c r="DT50" s="36"/>
      <c r="DU50" s="36"/>
      <c r="DV50" s="36"/>
      <c r="DW50" s="36"/>
      <c r="DX50" s="36"/>
      <c r="DY50" s="36"/>
      <c r="DZ50" s="36"/>
      <c r="EA50" s="36"/>
      <c r="EB50" s="36"/>
      <c r="EC50" s="36"/>
      <c r="ED50" s="36"/>
      <c r="EE50" s="36"/>
      <c r="EF50" s="36"/>
      <c r="EG50" s="36"/>
      <c r="EH50" s="36"/>
      <c r="EI50" s="36"/>
      <c r="EJ50" s="36"/>
      <c r="EK50" s="36"/>
      <c r="EL50" s="36"/>
      <c r="EM50" s="36"/>
      <c r="EN50" s="36"/>
      <c r="EO50" s="36"/>
      <c r="EP50" s="36"/>
      <c r="EQ50" s="36"/>
      <c r="ER50" s="36"/>
      <c r="ES50" s="36"/>
      <c r="ET50" s="36"/>
      <c r="EU50" s="36"/>
      <c r="EV50" s="36"/>
      <c r="EW50" s="36"/>
      <c r="EX50" s="36"/>
      <c r="EY50" s="36"/>
      <c r="EZ50" s="36"/>
      <c r="FA50" s="36"/>
      <c r="FB50" s="36"/>
      <c r="FC50" s="36"/>
      <c r="FD50" s="36"/>
      <c r="FE50" s="36"/>
      <c r="FF50" s="36"/>
      <c r="FG50" s="36"/>
      <c r="FH50" s="36"/>
      <c r="FI50" s="36"/>
      <c r="FJ50" s="36"/>
      <c r="FK50" s="36"/>
      <c r="FL50" s="36"/>
      <c r="FM50" s="36"/>
      <c r="FN50" s="36"/>
      <c r="FO50" s="36"/>
      <c r="FP50" s="36"/>
      <c r="FQ50" s="36"/>
      <c r="FR50" s="36"/>
      <c r="FS50" s="36"/>
      <c r="FT50" s="36"/>
      <c r="FU50" s="36"/>
      <c r="FV50" s="36"/>
      <c r="FW50" s="36"/>
      <c r="FX50" s="36"/>
      <c r="FY50" s="36"/>
      <c r="FZ50" s="36"/>
      <c r="GA50" s="36"/>
      <c r="GB50" s="36"/>
      <c r="GC50" s="36"/>
      <c r="GD50" s="36"/>
      <c r="GE50" s="36"/>
      <c r="GF50" s="36"/>
      <c r="GG50" s="36"/>
      <c r="GH50" s="36"/>
      <c r="GI50" s="36"/>
      <c r="GJ50" s="36"/>
      <c r="GK50" s="36"/>
      <c r="GL50" s="36"/>
      <c r="GM50" s="36"/>
      <c r="GN50" s="36"/>
      <c r="GO50" s="36"/>
      <c r="GP50" s="36"/>
      <c r="GQ50" s="36"/>
      <c r="GR50" s="36"/>
      <c r="GS50" s="36"/>
      <c r="GT50" s="36"/>
    </row>
    <row r="51" spans="1:202">
      <c r="A51" s="71" t="s">
        <v>7</v>
      </c>
      <c r="B51" s="24"/>
      <c r="C51" s="72"/>
      <c r="D51" s="72">
        <f>D50/C50-1</f>
        <v>-2.9411764705882359E-2</v>
      </c>
      <c r="E51" s="72">
        <f>E50/D50-1</f>
        <v>1.5151515151515138E-2</v>
      </c>
      <c r="F51" s="72">
        <f>F50/E50-1</f>
        <v>-1.4925373134328401E-2</v>
      </c>
      <c r="G51" s="24"/>
      <c r="H51" s="72">
        <v>1.5151515151515138E-2</v>
      </c>
      <c r="I51" s="72">
        <v>0</v>
      </c>
      <c r="J51" s="72">
        <v>4.4776119402984982E-2</v>
      </c>
      <c r="K51" s="72">
        <v>0</v>
      </c>
      <c r="L51" s="27"/>
      <c r="M51" s="72">
        <v>4.2857142857142927E-2</v>
      </c>
      <c r="N51" s="72">
        <v>-1.3698630136986356E-2</v>
      </c>
      <c r="O51" s="72">
        <v>5.555555555555558E-2</v>
      </c>
      <c r="P51" s="72">
        <v>2.6315789473684292E-2</v>
      </c>
      <c r="Q51" s="27"/>
      <c r="R51" s="72">
        <v>1.2820512820512775E-2</v>
      </c>
      <c r="S51" s="72">
        <v>1.2658227848101333E-2</v>
      </c>
      <c r="T51" s="72">
        <v>1.2499999999999956E-2</v>
      </c>
      <c r="U51" s="72">
        <v>0</v>
      </c>
      <c r="V51" s="27"/>
      <c r="W51" s="72">
        <v>3.7037037037036979E-2</v>
      </c>
      <c r="X51" s="72">
        <v>-4.7619047619047672E-2</v>
      </c>
      <c r="Y51" s="72">
        <v>0</v>
      </c>
      <c r="Z51" s="72">
        <v>0</v>
      </c>
      <c r="AA51" s="27"/>
      <c r="AB51" s="72">
        <v>3.7500000000000089E-2</v>
      </c>
      <c r="AC51" s="72">
        <v>2.4096385542168752E-2</v>
      </c>
      <c r="AD51" s="72">
        <v>1.1764705882352899E-2</v>
      </c>
      <c r="AE51" s="72">
        <v>-4.6511627906976716E-2</v>
      </c>
      <c r="AF51" s="27"/>
      <c r="AG51" s="72">
        <v>0</v>
      </c>
      <c r="AH51" s="72">
        <v>2.4390243902439046E-2</v>
      </c>
      <c r="AI51" s="72">
        <v>1.1904761904761862E-2</v>
      </c>
      <c r="AJ51" s="72">
        <v>0</v>
      </c>
      <c r="AK51" s="27"/>
      <c r="AL51" s="72">
        <v>2.3529411764705799E-2</v>
      </c>
      <c r="AM51" s="72">
        <v>1.1494252873563315E-2</v>
      </c>
      <c r="AN51" s="72">
        <v>0</v>
      </c>
      <c r="AO51" s="72">
        <v>0</v>
      </c>
      <c r="AP51" s="27"/>
      <c r="AQ51" s="72">
        <v>2.2727272727272707E-2</v>
      </c>
      <c r="AR51" s="72">
        <v>0</v>
      </c>
      <c r="AS51" s="72">
        <v>-2.2222222222222254E-2</v>
      </c>
      <c r="AT51" s="72">
        <v>2.2727272727272707E-2</v>
      </c>
      <c r="AU51" s="27"/>
      <c r="AV51" s="72">
        <v>0</v>
      </c>
      <c r="AW51" s="72">
        <v>0</v>
      </c>
      <c r="AX51" s="72">
        <v>0</v>
      </c>
      <c r="AY51" s="72">
        <v>2.2222222222222143E-2</v>
      </c>
      <c r="AZ51" s="27"/>
      <c r="BA51" s="72">
        <v>0</v>
      </c>
    </row>
    <row r="52" spans="1:202">
      <c r="A52" s="71" t="s">
        <v>8</v>
      </c>
      <c r="B52" s="24"/>
      <c r="C52" s="73"/>
      <c r="D52" s="73"/>
      <c r="E52" s="73"/>
      <c r="F52" s="73"/>
      <c r="G52" s="24">
        <v>4.6875E-2</v>
      </c>
      <c r="H52" s="73">
        <v>-1.4705882352941124E-2</v>
      </c>
      <c r="I52" s="73">
        <v>1.5151515151515138E-2</v>
      </c>
      <c r="J52" s="73">
        <v>4.4776119402984982E-2</v>
      </c>
      <c r="K52" s="72">
        <v>6.0606060606060552E-2</v>
      </c>
      <c r="L52" s="24">
        <v>2.9850746268656803E-2</v>
      </c>
      <c r="M52" s="72">
        <v>8.9552238805970186E-2</v>
      </c>
      <c r="N52" s="73">
        <v>7.4626865671641784E-2</v>
      </c>
      <c r="O52" s="73">
        <v>8.5714285714285632E-2</v>
      </c>
      <c r="P52" s="72">
        <v>0.11428571428571432</v>
      </c>
      <c r="Q52" s="24">
        <v>8.6956521739130377E-2</v>
      </c>
      <c r="R52" s="72">
        <v>8.2191780821917915E-2</v>
      </c>
      <c r="S52" s="73">
        <v>0.11111111111111116</v>
      </c>
      <c r="T52" s="73">
        <v>6.578947368421062E-2</v>
      </c>
      <c r="U52" s="72">
        <v>3.8461538461538547E-2</v>
      </c>
      <c r="V52" s="24">
        <v>6.6666666666666652E-2</v>
      </c>
      <c r="W52" s="72">
        <v>6.3291139240506222E-2</v>
      </c>
      <c r="X52" s="73">
        <v>0</v>
      </c>
      <c r="Y52" s="73">
        <v>-1.2345679012345734E-2</v>
      </c>
      <c r="Z52" s="72">
        <v>-1.2345679012345734E-2</v>
      </c>
      <c r="AA52" s="24">
        <v>1.2499999999999956E-2</v>
      </c>
      <c r="AB52" s="72">
        <v>-1.1904761904761862E-2</v>
      </c>
      <c r="AC52" s="73">
        <v>6.25E-2</v>
      </c>
      <c r="AD52" s="73">
        <v>7.4999999999999956E-2</v>
      </c>
      <c r="AE52" s="72">
        <v>2.4999999999999911E-2</v>
      </c>
      <c r="AF52" s="24">
        <v>3.7037037037036979E-2</v>
      </c>
      <c r="AG52" s="72">
        <v>-1.2048192771084376E-2</v>
      </c>
      <c r="AH52" s="73">
        <v>-1.1764705882352899E-2</v>
      </c>
      <c r="AI52" s="73">
        <v>-1.1627906976744207E-2</v>
      </c>
      <c r="AJ52" s="72">
        <v>3.6585365853658569E-2</v>
      </c>
      <c r="AK52" s="24">
        <v>0</v>
      </c>
      <c r="AL52" s="72">
        <v>6.0975609756097615E-2</v>
      </c>
      <c r="AM52" s="73">
        <v>4.7619047619047672E-2</v>
      </c>
      <c r="AN52" s="73">
        <v>3.529411764705892E-2</v>
      </c>
      <c r="AO52" s="72">
        <v>3.529411764705892E-2</v>
      </c>
      <c r="AP52" s="24">
        <v>4.7619047619047672E-2</v>
      </c>
      <c r="AQ52" s="72">
        <v>3.4482758620689724E-2</v>
      </c>
      <c r="AR52" s="73">
        <v>2.2727272727272707E-2</v>
      </c>
      <c r="AS52" s="73">
        <v>0</v>
      </c>
      <c r="AT52" s="72">
        <v>2.2727272727272707E-2</v>
      </c>
      <c r="AU52" s="24">
        <v>1.1363636363636465E-2</v>
      </c>
      <c r="AV52" s="72">
        <v>0</v>
      </c>
      <c r="AW52" s="73">
        <v>0</v>
      </c>
      <c r="AX52" s="73">
        <v>2.2727272727272707E-2</v>
      </c>
      <c r="AY52" s="72">
        <v>2.2222222222222143E-2</v>
      </c>
      <c r="AZ52" s="24">
        <v>1.1235955056179803E-2</v>
      </c>
      <c r="BA52" s="72">
        <v>2.2222222222222143E-2</v>
      </c>
    </row>
    <row r="53" spans="1:202" ht="25.5">
      <c r="A53" s="103" t="s">
        <v>74</v>
      </c>
      <c r="B53" s="100">
        <v>1.7</v>
      </c>
      <c r="C53" s="81">
        <v>1.9</v>
      </c>
      <c r="D53" s="81">
        <v>2</v>
      </c>
      <c r="E53" s="81">
        <v>2.1</v>
      </c>
      <c r="F53" s="81">
        <v>2.2000000000000002</v>
      </c>
      <c r="G53" s="100">
        <v>2.2000000000000002</v>
      </c>
      <c r="H53" s="81">
        <v>2.2999999999999998</v>
      </c>
      <c r="I53" s="81">
        <v>2.4</v>
      </c>
      <c r="J53" s="81">
        <v>2.5</v>
      </c>
      <c r="K53" s="81">
        <v>2.7</v>
      </c>
      <c r="L53" s="101">
        <v>2.7</v>
      </c>
      <c r="M53" s="81">
        <v>3</v>
      </c>
      <c r="N53" s="81">
        <v>3.4</v>
      </c>
      <c r="O53" s="81">
        <v>3.8</v>
      </c>
      <c r="P53" s="81">
        <v>4.3</v>
      </c>
      <c r="Q53" s="101">
        <v>4.3</v>
      </c>
      <c r="R53" s="81">
        <v>4.8</v>
      </c>
      <c r="S53" s="81">
        <v>5.3</v>
      </c>
      <c r="T53" s="81">
        <v>6</v>
      </c>
      <c r="U53" s="81">
        <v>6.7</v>
      </c>
      <c r="V53" s="101">
        <v>6.7</v>
      </c>
      <c r="W53" s="81">
        <v>7.5</v>
      </c>
      <c r="X53" s="81">
        <v>8.3000000000000007</v>
      </c>
      <c r="Y53" s="81">
        <v>9</v>
      </c>
      <c r="Z53" s="81">
        <v>9.6</v>
      </c>
      <c r="AA53" s="101">
        <v>9.6</v>
      </c>
      <c r="AB53" s="81">
        <v>10.4</v>
      </c>
      <c r="AC53" s="81">
        <v>15.2</v>
      </c>
      <c r="AD53" s="81">
        <v>17.3</v>
      </c>
      <c r="AE53" s="81">
        <v>18.100000000000001</v>
      </c>
      <c r="AF53" s="101">
        <v>18.100000000000001</v>
      </c>
      <c r="AG53" s="81">
        <v>20</v>
      </c>
      <c r="AH53" s="148">
        <v>21.9</v>
      </c>
      <c r="AI53" s="148">
        <v>24</v>
      </c>
      <c r="AJ53" s="81">
        <v>32.5</v>
      </c>
      <c r="AK53" s="101">
        <v>32.5</v>
      </c>
      <c r="AL53" s="81">
        <v>33.200000000000003</v>
      </c>
      <c r="AM53" s="148">
        <v>34.9</v>
      </c>
      <c r="AN53" s="148">
        <v>36.700000000000003</v>
      </c>
      <c r="AO53" s="81">
        <v>37.799999999999997</v>
      </c>
      <c r="AP53" s="101">
        <v>37.799999999999997</v>
      </c>
      <c r="AQ53" s="81">
        <v>38.9</v>
      </c>
      <c r="AR53" s="148">
        <v>40.200000000000003</v>
      </c>
      <c r="AS53" s="148">
        <v>41.8</v>
      </c>
      <c r="AT53" s="81">
        <v>43.4</v>
      </c>
      <c r="AU53" s="101">
        <v>43.4</v>
      </c>
      <c r="AV53" s="81">
        <v>45.1</v>
      </c>
      <c r="AW53" s="81">
        <v>47.2</v>
      </c>
      <c r="AX53" s="81">
        <v>49.5</v>
      </c>
      <c r="AY53" s="81">
        <v>51.5</v>
      </c>
      <c r="AZ53" s="101">
        <v>51.5</v>
      </c>
      <c r="BA53" s="81">
        <v>53.5</v>
      </c>
    </row>
    <row r="54" spans="1:202">
      <c r="A54" s="71" t="s">
        <v>7</v>
      </c>
      <c r="B54" s="24"/>
      <c r="C54" s="72"/>
      <c r="D54" s="72">
        <f>D53/C53-1</f>
        <v>5.2631578947368363E-2</v>
      </c>
      <c r="E54" s="72">
        <f>E53/D53-1</f>
        <v>5.0000000000000044E-2</v>
      </c>
      <c r="F54" s="72">
        <f>F53/E53-1</f>
        <v>4.7619047619047672E-2</v>
      </c>
      <c r="G54" s="24"/>
      <c r="H54" s="72">
        <v>4.5454545454545192E-2</v>
      </c>
      <c r="I54" s="72">
        <v>4.3478260869565188E-2</v>
      </c>
      <c r="J54" s="72">
        <v>4.1666666666666741E-2</v>
      </c>
      <c r="K54" s="72">
        <v>8.0000000000000071E-2</v>
      </c>
      <c r="L54" s="27"/>
      <c r="M54" s="72">
        <v>0.11111111111111094</v>
      </c>
      <c r="N54" s="72">
        <v>0.1333333333333333</v>
      </c>
      <c r="O54" s="72">
        <v>0.11764705882352944</v>
      </c>
      <c r="P54" s="72">
        <v>0.13157894736842102</v>
      </c>
      <c r="Q54" s="27"/>
      <c r="R54" s="72">
        <v>0.11627906976744184</v>
      </c>
      <c r="S54" s="72">
        <v>0.10416666666666674</v>
      </c>
      <c r="T54" s="72">
        <v>0.13207547169811318</v>
      </c>
      <c r="U54" s="72">
        <v>0.1166666666666667</v>
      </c>
      <c r="V54" s="27"/>
      <c r="W54" s="72">
        <v>0.11940298507462677</v>
      </c>
      <c r="X54" s="72">
        <v>0.10666666666666669</v>
      </c>
      <c r="Y54" s="72">
        <v>8.43373493975903E-2</v>
      </c>
      <c r="Z54" s="72">
        <v>6.6666666666666652E-2</v>
      </c>
      <c r="AA54" s="27"/>
      <c r="AB54" s="72">
        <v>8.3333333333333481E-2</v>
      </c>
      <c r="AC54" s="72">
        <v>0.46153846153846145</v>
      </c>
      <c r="AD54" s="72">
        <v>0.13815789473684226</v>
      </c>
      <c r="AE54" s="72">
        <v>4.6242774566473965E-2</v>
      </c>
      <c r="AF54" s="27"/>
      <c r="AG54" s="72">
        <v>0.10497237569060758</v>
      </c>
      <c r="AH54" s="72">
        <v>9.4999999999999973E-2</v>
      </c>
      <c r="AI54" s="72">
        <v>9.5890410958904271E-2</v>
      </c>
      <c r="AJ54" s="72">
        <v>0.35416666666666674</v>
      </c>
      <c r="AK54" s="27"/>
      <c r="AL54" s="72">
        <v>2.1538461538461728E-2</v>
      </c>
      <c r="AM54" s="72">
        <v>5.1204819277108404E-2</v>
      </c>
      <c r="AN54" s="72">
        <v>5.157593123209181E-2</v>
      </c>
      <c r="AO54" s="72">
        <v>2.9972752043596618E-2</v>
      </c>
      <c r="AP54" s="27"/>
      <c r="AQ54" s="72">
        <v>2.9100529100529071E-2</v>
      </c>
      <c r="AR54" s="72">
        <v>3.3419023136247006E-2</v>
      </c>
      <c r="AS54" s="72">
        <v>3.9800995024875441E-2</v>
      </c>
      <c r="AT54" s="72">
        <v>3.8277511961722466E-2</v>
      </c>
      <c r="AU54" s="27"/>
      <c r="AV54" s="72">
        <v>3.9170506912442393E-2</v>
      </c>
      <c r="AW54" s="72">
        <v>4.6563192904656381E-2</v>
      </c>
      <c r="AX54" s="72">
        <v>4.8728813559322015E-2</v>
      </c>
      <c r="AY54" s="72">
        <v>4.0404040404040442E-2</v>
      </c>
      <c r="AZ54" s="27"/>
      <c r="BA54" s="72">
        <v>3.8834951456310662E-2</v>
      </c>
    </row>
    <row r="55" spans="1:202">
      <c r="A55" s="71" t="s">
        <v>8</v>
      </c>
      <c r="B55" s="24"/>
      <c r="C55" s="73"/>
      <c r="D55" s="73"/>
      <c r="E55" s="73"/>
      <c r="F55" s="73"/>
      <c r="G55" s="24">
        <v>0.29411764705882359</v>
      </c>
      <c r="H55" s="73">
        <v>0.21052631578947367</v>
      </c>
      <c r="I55" s="73">
        <v>0.19999999999999996</v>
      </c>
      <c r="J55" s="73">
        <v>0.19047619047619047</v>
      </c>
      <c r="K55" s="72">
        <v>0.22727272727272729</v>
      </c>
      <c r="L55" s="24">
        <v>0.22727272727272729</v>
      </c>
      <c r="M55" s="73">
        <v>0.30434782608695654</v>
      </c>
      <c r="N55" s="73">
        <v>0.41666666666666674</v>
      </c>
      <c r="O55" s="73">
        <v>0.52</v>
      </c>
      <c r="P55" s="72">
        <v>0.59259259259259234</v>
      </c>
      <c r="Q55" s="24">
        <v>0.59259259259259234</v>
      </c>
      <c r="R55" s="73">
        <v>0.59999999999999987</v>
      </c>
      <c r="S55" s="73">
        <v>0.55882352941176472</v>
      </c>
      <c r="T55" s="73">
        <v>0.57894736842105265</v>
      </c>
      <c r="U55" s="72">
        <v>0.55813953488372103</v>
      </c>
      <c r="V55" s="24">
        <v>0.55813953488372103</v>
      </c>
      <c r="W55" s="73">
        <v>0.5625</v>
      </c>
      <c r="X55" s="73">
        <v>0.5660377358490567</v>
      </c>
      <c r="Y55" s="73">
        <v>0.5</v>
      </c>
      <c r="Z55" s="72">
        <v>0.43283582089552231</v>
      </c>
      <c r="AA55" s="24">
        <v>0.43283582089552231</v>
      </c>
      <c r="AB55" s="73">
        <v>0.38666666666666671</v>
      </c>
      <c r="AC55" s="73">
        <v>0.83132530120481896</v>
      </c>
      <c r="AD55" s="73">
        <v>0.92222222222222228</v>
      </c>
      <c r="AE55" s="72">
        <v>0.88541666666666696</v>
      </c>
      <c r="AF55" s="24">
        <v>0.88541666666666696</v>
      </c>
      <c r="AG55" s="73">
        <v>0.92307692307692291</v>
      </c>
      <c r="AH55" s="73">
        <v>0.4407894736842104</v>
      </c>
      <c r="AI55" s="73">
        <v>0.38728323699421963</v>
      </c>
      <c r="AJ55" s="72">
        <v>0.79558011049723754</v>
      </c>
      <c r="AK55" s="24">
        <v>0.79558011049723754</v>
      </c>
      <c r="AL55" s="73">
        <v>0.66000000000000014</v>
      </c>
      <c r="AM55" s="73">
        <v>0.59360730593607314</v>
      </c>
      <c r="AN55" s="73">
        <v>0.52916666666666679</v>
      </c>
      <c r="AO55" s="72">
        <v>0.1630769230769229</v>
      </c>
      <c r="AP55" s="24">
        <v>0.1630769230769229</v>
      </c>
      <c r="AQ55" s="73">
        <v>0.17168674698795172</v>
      </c>
      <c r="AR55" s="73">
        <v>0.15186246418338123</v>
      </c>
      <c r="AS55" s="73">
        <v>0.13896457765667569</v>
      </c>
      <c r="AT55" s="72">
        <v>0.14814814814814814</v>
      </c>
      <c r="AU55" s="24">
        <v>0.14814814814814814</v>
      </c>
      <c r="AV55" s="73">
        <v>0.15938303341902316</v>
      </c>
      <c r="AW55" s="73">
        <v>0.17412935323383083</v>
      </c>
      <c r="AX55" s="73">
        <v>0.1842105263157896</v>
      </c>
      <c r="AY55" s="72">
        <v>0.18663594470046085</v>
      </c>
      <c r="AZ55" s="24">
        <v>0.18663594470046085</v>
      </c>
      <c r="BA55" s="73">
        <v>0.1862527716186253</v>
      </c>
    </row>
    <row r="56" spans="1:202" ht="7.5" customHeight="1">
      <c r="A56" s="71"/>
      <c r="B56" s="24"/>
      <c r="C56" s="73"/>
      <c r="D56" s="73"/>
      <c r="E56" s="73"/>
      <c r="F56" s="73"/>
      <c r="G56" s="24"/>
      <c r="H56" s="73"/>
      <c r="I56" s="73"/>
      <c r="J56" s="73"/>
      <c r="K56" s="72"/>
      <c r="L56" s="24"/>
      <c r="M56" s="73"/>
      <c r="N56" s="73"/>
      <c r="O56" s="73"/>
      <c r="P56" s="72"/>
      <c r="Q56" s="24"/>
      <c r="R56" s="73"/>
      <c r="S56" s="73"/>
      <c r="T56" s="73"/>
      <c r="U56" s="72"/>
      <c r="V56" s="24"/>
      <c r="W56" s="73"/>
      <c r="X56" s="73"/>
      <c r="Y56" s="73"/>
      <c r="Z56" s="72"/>
      <c r="AA56" s="24"/>
      <c r="AB56" s="73"/>
      <c r="AC56" s="73"/>
      <c r="AD56" s="73"/>
      <c r="AE56" s="72"/>
      <c r="AF56" s="24"/>
      <c r="AG56" s="73"/>
      <c r="AH56" s="73"/>
      <c r="AI56" s="73"/>
      <c r="AJ56" s="72"/>
      <c r="AK56" s="24"/>
      <c r="AL56" s="73"/>
      <c r="AM56" s="73"/>
      <c r="AN56" s="73"/>
      <c r="AO56" s="72"/>
      <c r="AP56" s="24"/>
      <c r="AQ56" s="73"/>
      <c r="AR56" s="73"/>
      <c r="AS56" s="73"/>
      <c r="AT56" s="72"/>
      <c r="AU56" s="24"/>
      <c r="AV56" s="73"/>
      <c r="AW56" s="73"/>
      <c r="AX56" s="73"/>
      <c r="AY56" s="72"/>
      <c r="AZ56" s="24"/>
      <c r="BA56" s="73"/>
    </row>
    <row r="57" spans="1:202" s="2" customFormat="1">
      <c r="A57" s="69" t="s">
        <v>18</v>
      </c>
      <c r="B57" s="38">
        <v>7614</v>
      </c>
      <c r="C57" s="80" t="s">
        <v>53</v>
      </c>
      <c r="D57" s="80" t="s">
        <v>53</v>
      </c>
      <c r="E57" s="80" t="s">
        <v>53</v>
      </c>
      <c r="F57" s="80" t="s">
        <v>53</v>
      </c>
      <c r="G57" s="38">
        <v>7530</v>
      </c>
      <c r="H57" s="120" t="s">
        <v>45</v>
      </c>
      <c r="I57" s="120" t="s">
        <v>45</v>
      </c>
      <c r="J57" s="120" t="s">
        <v>45</v>
      </c>
      <c r="K57" s="120" t="s">
        <v>45</v>
      </c>
      <c r="L57" s="38">
        <v>7364</v>
      </c>
      <c r="M57" s="120" t="s">
        <v>45</v>
      </c>
      <c r="N57" s="120" t="s">
        <v>45</v>
      </c>
      <c r="O57" s="120" t="s">
        <v>45</v>
      </c>
      <c r="P57" s="120" t="s">
        <v>45</v>
      </c>
      <c r="Q57" s="38">
        <v>7216</v>
      </c>
      <c r="R57" s="120" t="s">
        <v>45</v>
      </c>
      <c r="S57" s="120" t="s">
        <v>45</v>
      </c>
      <c r="T57" s="120" t="s">
        <v>45</v>
      </c>
      <c r="U57" s="120" t="s">
        <v>45</v>
      </c>
      <c r="V57" s="37">
        <v>7076</v>
      </c>
      <c r="W57" s="120" t="s">
        <v>45</v>
      </c>
      <c r="X57" s="120" t="s">
        <v>45</v>
      </c>
      <c r="Y57" s="120" t="s">
        <v>45</v>
      </c>
      <c r="Z57" s="120" t="s">
        <v>45</v>
      </c>
      <c r="AA57" s="37">
        <v>7422</v>
      </c>
      <c r="AB57" s="138" t="s">
        <v>45</v>
      </c>
      <c r="AC57" s="138" t="s">
        <v>45</v>
      </c>
      <c r="AD57" s="70">
        <v>6576</v>
      </c>
      <c r="AE57" s="70">
        <v>6479</v>
      </c>
      <c r="AF57" s="37">
        <v>6479</v>
      </c>
      <c r="AG57" s="138" t="s">
        <v>45</v>
      </c>
      <c r="AH57" s="138" t="s">
        <v>45</v>
      </c>
      <c r="AI57" s="138" t="s">
        <v>45</v>
      </c>
      <c r="AJ57" s="70">
        <v>5964</v>
      </c>
      <c r="AK57" s="37">
        <v>5964</v>
      </c>
      <c r="AL57" s="138" t="s">
        <v>45</v>
      </c>
      <c r="AM57" s="138" t="s">
        <v>45</v>
      </c>
      <c r="AN57" s="138" t="s">
        <v>45</v>
      </c>
      <c r="AO57" s="70">
        <v>5896</v>
      </c>
      <c r="AP57" s="37">
        <v>5896</v>
      </c>
      <c r="AQ57" s="138" t="s">
        <v>45</v>
      </c>
      <c r="AR57" s="138" t="s">
        <v>45</v>
      </c>
      <c r="AS57" s="138" t="s">
        <v>45</v>
      </c>
      <c r="AT57" s="70">
        <v>5649</v>
      </c>
      <c r="AU57" s="37">
        <v>5649</v>
      </c>
      <c r="AV57" s="138" t="s">
        <v>45</v>
      </c>
      <c r="AW57" s="138" t="s">
        <v>45</v>
      </c>
      <c r="AX57" s="138" t="s">
        <v>45</v>
      </c>
      <c r="AY57" s="70">
        <v>5582</v>
      </c>
      <c r="AZ57" s="37">
        <v>5582</v>
      </c>
      <c r="BA57" s="138" t="s">
        <v>45</v>
      </c>
      <c r="BB57" s="3"/>
      <c r="BC57" s="3"/>
      <c r="BD57" s="3"/>
      <c r="BE57" s="3"/>
      <c r="BF57" s="3"/>
      <c r="BG57" s="3"/>
      <c r="BH57" s="3"/>
      <c r="BI57" s="36"/>
      <c r="BJ57" s="36"/>
      <c r="BK57" s="36"/>
      <c r="BL57" s="36"/>
      <c r="BM57" s="36"/>
      <c r="BN57" s="36"/>
      <c r="BO57" s="36"/>
      <c r="BP57" s="36"/>
      <c r="BQ57" s="36"/>
      <c r="BR57" s="36"/>
      <c r="BS57" s="36"/>
      <c r="BT57" s="36"/>
      <c r="BU57" s="36"/>
      <c r="BV57" s="36"/>
      <c r="BW57" s="36"/>
      <c r="BX57" s="36"/>
      <c r="BY57" s="36"/>
      <c r="BZ57" s="36"/>
      <c r="CA57" s="36"/>
      <c r="CB57" s="36"/>
      <c r="CC57" s="36"/>
      <c r="CD57" s="36"/>
      <c r="CE57" s="36"/>
      <c r="CF57" s="36"/>
      <c r="CG57" s="36"/>
      <c r="CH57" s="36"/>
      <c r="CI57" s="36"/>
      <c r="CJ57" s="36"/>
      <c r="CK57" s="36"/>
      <c r="CL57" s="36"/>
      <c r="CM57" s="36"/>
      <c r="CN57" s="36"/>
      <c r="CO57" s="36"/>
      <c r="CP57" s="36"/>
      <c r="CQ57" s="36"/>
      <c r="CR57" s="36"/>
      <c r="CS57" s="36"/>
      <c r="CT57" s="36"/>
      <c r="CU57" s="36"/>
      <c r="CV57" s="36"/>
      <c r="CW57" s="36"/>
      <c r="CX57" s="36"/>
      <c r="CY57" s="36"/>
      <c r="CZ57" s="36"/>
      <c r="DA57" s="36"/>
      <c r="DB57" s="36"/>
      <c r="DC57" s="36"/>
      <c r="DD57" s="36"/>
      <c r="DE57" s="36"/>
      <c r="DF57" s="36"/>
      <c r="DG57" s="36"/>
      <c r="DH57" s="36"/>
      <c r="DI57" s="36"/>
      <c r="DJ57" s="36"/>
      <c r="DK57" s="36"/>
      <c r="DL57" s="36"/>
      <c r="DM57" s="36"/>
      <c r="DN57" s="36"/>
      <c r="DO57" s="36"/>
      <c r="DP57" s="36"/>
      <c r="DQ57" s="36"/>
      <c r="DR57" s="36"/>
      <c r="DS57" s="36"/>
      <c r="DT57" s="36"/>
      <c r="DU57" s="36"/>
      <c r="DV57" s="36"/>
      <c r="DW57" s="36"/>
      <c r="DX57" s="36"/>
      <c r="DY57" s="36"/>
      <c r="DZ57" s="36"/>
      <c r="EA57" s="36"/>
      <c r="EB57" s="36"/>
      <c r="EC57" s="36"/>
      <c r="ED57" s="36"/>
      <c r="EE57" s="36"/>
      <c r="EF57" s="36"/>
      <c r="EG57" s="36"/>
      <c r="EH57" s="36"/>
      <c r="EI57" s="36"/>
      <c r="EJ57" s="36"/>
      <c r="EK57" s="36"/>
      <c r="EL57" s="36"/>
      <c r="EM57" s="36"/>
      <c r="EN57" s="36"/>
      <c r="EO57" s="36"/>
      <c r="EP57" s="36"/>
      <c r="EQ57" s="36"/>
      <c r="ER57" s="36"/>
      <c r="ES57" s="36"/>
      <c r="ET57" s="36"/>
      <c r="EU57" s="36"/>
      <c r="EV57" s="36"/>
      <c r="EW57" s="36"/>
      <c r="EX57" s="36"/>
      <c r="EY57" s="36"/>
      <c r="EZ57" s="36"/>
      <c r="FA57" s="36"/>
      <c r="FB57" s="36"/>
      <c r="FC57" s="36"/>
      <c r="FD57" s="36"/>
      <c r="FE57" s="36"/>
      <c r="FF57" s="36"/>
      <c r="FG57" s="36"/>
      <c r="FH57" s="36"/>
      <c r="FI57" s="36"/>
      <c r="FJ57" s="36"/>
      <c r="FK57" s="36"/>
      <c r="FL57" s="36"/>
      <c r="FM57" s="36"/>
      <c r="FN57" s="36"/>
      <c r="FO57" s="36"/>
      <c r="FP57" s="36"/>
      <c r="FQ57" s="36"/>
      <c r="FR57" s="36"/>
      <c r="FS57" s="36"/>
      <c r="FT57" s="36"/>
      <c r="FU57" s="36"/>
      <c r="FV57" s="36"/>
      <c r="FW57" s="36"/>
      <c r="FX57" s="36"/>
      <c r="FY57" s="36"/>
      <c r="FZ57" s="36"/>
      <c r="GA57" s="36"/>
      <c r="GB57" s="36"/>
      <c r="GC57" s="36"/>
      <c r="GD57" s="36"/>
      <c r="GE57" s="36"/>
      <c r="GF57" s="36"/>
      <c r="GG57" s="36"/>
      <c r="GH57" s="36"/>
      <c r="GI57" s="36"/>
      <c r="GJ57" s="36"/>
      <c r="GK57" s="36"/>
      <c r="GL57" s="36"/>
      <c r="GM57" s="36"/>
      <c r="GN57" s="36"/>
      <c r="GO57" s="36"/>
      <c r="GP57" s="36"/>
      <c r="GQ57" s="36"/>
      <c r="GR57" s="36"/>
      <c r="GS57" s="36"/>
      <c r="GT57" s="36"/>
    </row>
    <row r="58" spans="1:202" ht="13.5" customHeight="1">
      <c r="A58" s="71" t="s">
        <v>8</v>
      </c>
      <c r="B58" s="24"/>
      <c r="C58" s="73"/>
      <c r="D58" s="73"/>
      <c r="E58" s="73"/>
      <c r="F58" s="73"/>
      <c r="G58" s="24">
        <v>-1.1032308904649346E-2</v>
      </c>
      <c r="H58" s="73"/>
      <c r="I58" s="73"/>
      <c r="J58" s="73"/>
      <c r="K58" s="72"/>
      <c r="L58" s="24">
        <v>-2.2045152722443562E-2</v>
      </c>
      <c r="M58" s="73"/>
      <c r="N58" s="73"/>
      <c r="O58" s="73"/>
      <c r="P58" s="72"/>
      <c r="Q58" s="24">
        <v>-2.0097772949484005E-2</v>
      </c>
      <c r="R58" s="73"/>
      <c r="S58" s="73"/>
      <c r="T58" s="73"/>
      <c r="U58" s="72"/>
      <c r="V58" s="24">
        <v>-1.940133037694014E-2</v>
      </c>
      <c r="W58" s="73"/>
      <c r="X58" s="73"/>
      <c r="Y58" s="73"/>
      <c r="Z58" s="72"/>
      <c r="AA58" s="24">
        <v>4.8897682306387802E-2</v>
      </c>
      <c r="AB58" s="73"/>
      <c r="AC58" s="73"/>
      <c r="AD58" s="73"/>
      <c r="AE58" s="72"/>
      <c r="AF58" s="24">
        <v>-0.12705470223659387</v>
      </c>
      <c r="AG58" s="73"/>
      <c r="AH58" s="73"/>
      <c r="AI58" s="73"/>
      <c r="AJ58" s="72"/>
      <c r="AK58" s="24">
        <v>-7.9487575243093023E-2</v>
      </c>
      <c r="AL58" s="73"/>
      <c r="AM58" s="73"/>
      <c r="AN58" s="73"/>
      <c r="AO58" s="72"/>
      <c r="AP58" s="24">
        <v>-1.1401743796110031E-2</v>
      </c>
      <c r="AQ58" s="73"/>
      <c r="AR58" s="73"/>
      <c r="AS58" s="73"/>
      <c r="AT58" s="72"/>
      <c r="AU58" s="24">
        <v>-4.1892808683853477E-2</v>
      </c>
      <c r="AV58" s="73"/>
      <c r="AW58" s="73"/>
      <c r="AX58" s="73"/>
      <c r="AY58" s="72"/>
      <c r="AZ58" s="24">
        <v>-1.1860506284298133E-2</v>
      </c>
      <c r="BA58" s="73"/>
    </row>
    <row r="59" spans="1:202" ht="2.25" customHeight="1">
      <c r="A59" s="71"/>
      <c r="B59" s="24"/>
      <c r="C59" s="73"/>
      <c r="D59" s="73"/>
      <c r="E59" s="73"/>
      <c r="F59" s="73"/>
      <c r="G59" s="24"/>
      <c r="H59" s="73"/>
      <c r="I59" s="73"/>
      <c r="J59" s="73"/>
      <c r="K59" s="72"/>
      <c r="L59" s="24"/>
      <c r="M59" s="73"/>
      <c r="N59" s="73"/>
      <c r="O59" s="73"/>
      <c r="P59" s="72"/>
      <c r="Q59" s="24"/>
      <c r="R59" s="73"/>
      <c r="S59" s="73"/>
      <c r="T59" s="73"/>
      <c r="U59" s="72"/>
      <c r="V59" s="24"/>
      <c r="W59" s="73"/>
      <c r="X59" s="73"/>
      <c r="Y59" s="73"/>
      <c r="Z59" s="72"/>
      <c r="AA59" s="24"/>
      <c r="AB59" s="73"/>
      <c r="AC59" s="73"/>
      <c r="AD59" s="73"/>
      <c r="AE59" s="72"/>
      <c r="AF59" s="24"/>
      <c r="AG59" s="73"/>
      <c r="AH59" s="73"/>
      <c r="AI59" s="73"/>
      <c r="AJ59" s="72"/>
      <c r="AK59" s="24"/>
      <c r="AL59" s="73"/>
      <c r="AM59" s="73"/>
      <c r="AN59" s="73"/>
      <c r="AO59" s="72"/>
      <c r="AP59" s="24" t="s">
        <v>171</v>
      </c>
      <c r="AQ59" s="73"/>
      <c r="AR59" s="73"/>
      <c r="AS59" s="73"/>
      <c r="AT59" s="72"/>
      <c r="AU59" s="24" t="s">
        <v>171</v>
      </c>
      <c r="AV59" s="73"/>
      <c r="AW59" s="73"/>
      <c r="AX59" s="73"/>
      <c r="AY59" s="72"/>
      <c r="AZ59" s="24" t="s">
        <v>171</v>
      </c>
      <c r="BA59" s="73"/>
    </row>
    <row r="60" spans="1:202" s="46" customFormat="1" ht="13.9" customHeight="1">
      <c r="A60" s="69" t="s">
        <v>162</v>
      </c>
      <c r="B60" s="169" t="s">
        <v>45</v>
      </c>
      <c r="C60" s="39"/>
      <c r="D60" s="39"/>
      <c r="E60" s="39"/>
      <c r="F60" s="39"/>
      <c r="G60" s="169" t="s">
        <v>45</v>
      </c>
      <c r="H60" s="39"/>
      <c r="I60" s="39"/>
      <c r="J60" s="39"/>
      <c r="K60" s="39"/>
      <c r="L60" s="170">
        <v>0.59</v>
      </c>
      <c r="M60" s="170"/>
      <c r="N60" s="170"/>
      <c r="O60" s="170"/>
      <c r="P60" s="170"/>
      <c r="Q60" s="170">
        <v>0.59</v>
      </c>
      <c r="R60" s="170"/>
      <c r="S60" s="170"/>
      <c r="T60" s="170"/>
      <c r="U60" s="170"/>
      <c r="V60" s="170">
        <v>0.59</v>
      </c>
      <c r="W60" s="170"/>
      <c r="X60" s="170"/>
      <c r="Y60" s="170"/>
      <c r="Z60" s="170"/>
      <c r="AA60" s="170">
        <v>0.6</v>
      </c>
      <c r="AB60" s="170"/>
      <c r="AC60" s="170"/>
      <c r="AD60" s="170"/>
      <c r="AE60" s="170"/>
      <c r="AF60" s="170">
        <v>0.63</v>
      </c>
      <c r="AG60" s="138" t="s">
        <v>45</v>
      </c>
      <c r="AH60" s="138" t="s">
        <v>45</v>
      </c>
      <c r="AI60" s="138" t="s">
        <v>45</v>
      </c>
      <c r="AJ60" s="138" t="s">
        <v>45</v>
      </c>
      <c r="AK60" s="170">
        <v>0.66</v>
      </c>
      <c r="AL60" s="138" t="s">
        <v>45</v>
      </c>
      <c r="AM60" s="138" t="s">
        <v>45</v>
      </c>
      <c r="AN60" s="138" t="s">
        <v>45</v>
      </c>
      <c r="AO60" s="138" t="s">
        <v>45</v>
      </c>
      <c r="AP60" s="170">
        <v>0.68</v>
      </c>
      <c r="AQ60" s="138" t="s">
        <v>45</v>
      </c>
      <c r="AR60" s="138" t="s">
        <v>45</v>
      </c>
      <c r="AS60" s="138" t="s">
        <v>45</v>
      </c>
      <c r="AT60" s="138" t="s">
        <v>45</v>
      </c>
      <c r="AU60" s="170">
        <v>0.69</v>
      </c>
      <c r="AV60" s="138" t="s">
        <v>45</v>
      </c>
      <c r="AW60" s="138" t="s">
        <v>45</v>
      </c>
      <c r="AX60" s="138" t="s">
        <v>45</v>
      </c>
      <c r="AY60" s="138" t="s">
        <v>45</v>
      </c>
      <c r="AZ60" s="170">
        <v>0.7</v>
      </c>
      <c r="BA60" s="138" t="s">
        <v>45</v>
      </c>
      <c r="BB60" s="25"/>
      <c r="BC60" s="25"/>
      <c r="BD60" s="25"/>
      <c r="BE60" s="25"/>
      <c r="BF60" s="25"/>
      <c r="BG60" s="25"/>
      <c r="BH60" s="25"/>
      <c r="BI60" s="25"/>
      <c r="BJ60" s="25"/>
      <c r="BK60" s="25"/>
      <c r="BL60" s="25"/>
      <c r="BM60" s="25"/>
      <c r="BN60" s="25"/>
      <c r="BO60" s="25"/>
      <c r="BP60" s="25"/>
      <c r="BQ60" s="25"/>
      <c r="BR60" s="25"/>
      <c r="BS60" s="25"/>
      <c r="BT60" s="25"/>
      <c r="BU60" s="25"/>
      <c r="BV60" s="25"/>
      <c r="BW60" s="25"/>
      <c r="BX60" s="25"/>
      <c r="BY60" s="25"/>
      <c r="BZ60" s="25"/>
      <c r="CA60" s="25"/>
      <c r="CB60" s="25"/>
      <c r="CC60" s="25"/>
      <c r="CD60" s="25"/>
      <c r="CE60" s="25"/>
      <c r="CF60" s="25"/>
      <c r="CG60" s="25"/>
      <c r="CH60" s="25"/>
      <c r="CI60" s="25"/>
      <c r="CJ60" s="25"/>
      <c r="CK60" s="25"/>
      <c r="CL60" s="25"/>
      <c r="CM60" s="25"/>
      <c r="CN60" s="25"/>
      <c r="CO60" s="25"/>
      <c r="CP60" s="25"/>
      <c r="CQ60" s="25"/>
      <c r="CR60" s="25"/>
      <c r="CS60" s="25"/>
      <c r="CT60" s="25"/>
      <c r="CU60" s="25"/>
      <c r="CV60" s="25"/>
      <c r="CW60" s="25"/>
      <c r="CX60" s="25"/>
      <c r="CY60" s="25"/>
      <c r="CZ60" s="25"/>
      <c r="DA60" s="25"/>
      <c r="DB60" s="25"/>
      <c r="DC60" s="25"/>
      <c r="DD60" s="25"/>
      <c r="DE60" s="25"/>
      <c r="DF60" s="25"/>
      <c r="DG60" s="25"/>
      <c r="DH60" s="25"/>
      <c r="DI60" s="25"/>
      <c r="DJ60" s="25"/>
      <c r="DK60" s="25"/>
      <c r="DL60" s="25"/>
      <c r="DM60" s="25"/>
      <c r="DN60" s="25"/>
      <c r="DO60" s="25"/>
      <c r="DP60" s="25"/>
      <c r="DQ60" s="25"/>
      <c r="DR60" s="25"/>
      <c r="DS60" s="25"/>
      <c r="DT60" s="25"/>
      <c r="DU60" s="25"/>
      <c r="DV60" s="25"/>
      <c r="DW60" s="25"/>
      <c r="DX60" s="25"/>
      <c r="DY60" s="25"/>
      <c r="DZ60" s="25"/>
      <c r="EA60" s="25"/>
      <c r="EB60" s="25"/>
      <c r="EC60" s="25"/>
      <c r="ED60" s="25"/>
      <c r="EE60" s="25"/>
      <c r="EF60" s="25"/>
      <c r="EG60" s="25"/>
      <c r="EH60" s="25"/>
      <c r="EI60" s="25"/>
      <c r="EJ60" s="25"/>
      <c r="EK60" s="25"/>
      <c r="EL60" s="25"/>
      <c r="EM60" s="25"/>
      <c r="EN60" s="25"/>
      <c r="EO60" s="25"/>
      <c r="EP60" s="25"/>
      <c r="EQ60" s="25"/>
      <c r="ER60" s="25"/>
      <c r="ES60" s="25"/>
      <c r="ET60" s="25"/>
      <c r="EU60" s="25"/>
      <c r="EV60" s="25"/>
      <c r="EW60" s="25"/>
      <c r="EX60" s="25"/>
      <c r="EY60" s="25"/>
      <c r="EZ60" s="25"/>
      <c r="FA60" s="25"/>
      <c r="FB60" s="25"/>
      <c r="FC60" s="25"/>
      <c r="FD60" s="25"/>
      <c r="FE60" s="25"/>
      <c r="FF60" s="25"/>
      <c r="FG60" s="25"/>
      <c r="FH60" s="25"/>
      <c r="FI60" s="25"/>
      <c r="FJ60" s="25"/>
      <c r="FK60" s="25"/>
      <c r="FL60" s="25"/>
      <c r="FM60" s="25"/>
      <c r="FN60" s="25"/>
      <c r="FO60" s="25"/>
      <c r="FP60" s="25"/>
      <c r="FQ60" s="25"/>
      <c r="FR60" s="25"/>
      <c r="FS60" s="25"/>
      <c r="FT60" s="25"/>
      <c r="FU60" s="25"/>
      <c r="FV60" s="25"/>
      <c r="FW60" s="25"/>
      <c r="FX60" s="25"/>
      <c r="FY60" s="25"/>
      <c r="FZ60" s="25"/>
      <c r="GA60" s="25"/>
      <c r="GB60" s="25"/>
      <c r="GC60" s="25"/>
      <c r="GD60" s="25"/>
      <c r="GE60" s="25"/>
      <c r="GF60" s="25"/>
      <c r="GG60" s="25"/>
      <c r="GH60" s="25"/>
      <c r="GI60" s="25"/>
      <c r="GJ60" s="25"/>
      <c r="GK60" s="25"/>
      <c r="GL60" s="25"/>
      <c r="GM60" s="25"/>
      <c r="GN60" s="25"/>
      <c r="GO60" s="25"/>
      <c r="GP60" s="25"/>
      <c r="GQ60" s="25"/>
      <c r="GR60" s="25"/>
      <c r="GS60" s="25"/>
      <c r="GT60" s="25"/>
    </row>
    <row r="61" spans="1:202" s="46" customFormat="1" ht="13.5" customHeight="1">
      <c r="A61" s="69" t="s">
        <v>166</v>
      </c>
      <c r="B61" s="169" t="s">
        <v>45</v>
      </c>
      <c r="C61" s="39"/>
      <c r="D61" s="39"/>
      <c r="E61" s="39"/>
      <c r="F61" s="39"/>
      <c r="G61" s="169" t="s">
        <v>45</v>
      </c>
      <c r="H61" s="39"/>
      <c r="I61" s="39"/>
      <c r="J61" s="39"/>
      <c r="K61" s="39"/>
      <c r="L61" s="170">
        <v>0.72</v>
      </c>
      <c r="M61" s="170"/>
      <c r="N61" s="170"/>
      <c r="O61" s="170"/>
      <c r="P61" s="170"/>
      <c r="Q61" s="170">
        <v>0.65</v>
      </c>
      <c r="R61" s="170"/>
      <c r="S61" s="170"/>
      <c r="T61" s="170"/>
      <c r="U61" s="170"/>
      <c r="V61" s="170">
        <v>0.63</v>
      </c>
      <c r="W61" s="170"/>
      <c r="X61" s="170"/>
      <c r="Y61" s="170"/>
      <c r="Z61" s="170"/>
      <c r="AA61" s="170">
        <v>0.59</v>
      </c>
      <c r="AB61" s="170"/>
      <c r="AC61" s="170"/>
      <c r="AD61" s="170"/>
      <c r="AE61" s="170"/>
      <c r="AF61" s="170">
        <v>0.56999999999999995</v>
      </c>
      <c r="AG61" s="138" t="s">
        <v>45</v>
      </c>
      <c r="AH61" s="138" t="s">
        <v>45</v>
      </c>
      <c r="AI61" s="138" t="s">
        <v>45</v>
      </c>
      <c r="AJ61" s="138" t="s">
        <v>45</v>
      </c>
      <c r="AK61" s="170">
        <v>0.56000000000000005</v>
      </c>
      <c r="AL61" s="138" t="s">
        <v>45</v>
      </c>
      <c r="AM61" s="138" t="s">
        <v>45</v>
      </c>
      <c r="AN61" s="138" t="s">
        <v>45</v>
      </c>
      <c r="AO61" s="138" t="s">
        <v>45</v>
      </c>
      <c r="AP61" s="170">
        <v>0.56000000000000005</v>
      </c>
      <c r="AQ61" s="138" t="s">
        <v>45</v>
      </c>
      <c r="AR61" s="138" t="s">
        <v>45</v>
      </c>
      <c r="AS61" s="138" t="s">
        <v>45</v>
      </c>
      <c r="AT61" s="138" t="s">
        <v>45</v>
      </c>
      <c r="AU61" s="170">
        <v>0.55000000000000004</v>
      </c>
      <c r="AV61" s="138" t="s">
        <v>45</v>
      </c>
      <c r="AW61" s="138" t="s">
        <v>45</v>
      </c>
      <c r="AX61" s="138" t="s">
        <v>45</v>
      </c>
      <c r="AY61" s="138" t="s">
        <v>45</v>
      </c>
      <c r="AZ61" s="170">
        <v>0.53</v>
      </c>
      <c r="BA61" s="138" t="s">
        <v>45</v>
      </c>
      <c r="BB61" s="25"/>
      <c r="BC61" s="25"/>
      <c r="BD61" s="25"/>
      <c r="BE61" s="25"/>
      <c r="BF61" s="25"/>
      <c r="BG61" s="25"/>
      <c r="BH61" s="25"/>
      <c r="BI61" s="25"/>
      <c r="BJ61" s="25"/>
      <c r="BK61" s="25"/>
      <c r="BL61" s="25"/>
      <c r="BM61" s="25"/>
      <c r="BN61" s="25"/>
      <c r="BO61" s="25"/>
      <c r="BP61" s="25"/>
      <c r="BQ61" s="25"/>
      <c r="BR61" s="25"/>
      <c r="BS61" s="25"/>
      <c r="BT61" s="25"/>
      <c r="BU61" s="25"/>
      <c r="BV61" s="25"/>
      <c r="BW61" s="25"/>
      <c r="BX61" s="25"/>
      <c r="BY61" s="25"/>
      <c r="BZ61" s="25"/>
      <c r="CA61" s="25"/>
      <c r="CB61" s="25"/>
      <c r="CC61" s="25"/>
      <c r="CD61" s="25"/>
      <c r="CE61" s="25"/>
      <c r="CF61" s="25"/>
      <c r="CG61" s="25"/>
      <c r="CH61" s="25"/>
      <c r="CI61" s="25"/>
      <c r="CJ61" s="25"/>
      <c r="CK61" s="25"/>
      <c r="CL61" s="25"/>
      <c r="CM61" s="25"/>
      <c r="CN61" s="25"/>
      <c r="CO61" s="25"/>
      <c r="CP61" s="25"/>
      <c r="CQ61" s="25"/>
      <c r="CR61" s="25"/>
      <c r="CS61" s="25"/>
      <c r="CT61" s="25"/>
      <c r="CU61" s="25"/>
      <c r="CV61" s="25"/>
      <c r="CW61" s="25"/>
      <c r="CX61" s="25"/>
      <c r="CY61" s="25"/>
      <c r="CZ61" s="25"/>
      <c r="DA61" s="25"/>
      <c r="DB61" s="25"/>
      <c r="DC61" s="25"/>
      <c r="DD61" s="25"/>
      <c r="DE61" s="25"/>
      <c r="DF61" s="25"/>
      <c r="DG61" s="25"/>
      <c r="DH61" s="25"/>
      <c r="DI61" s="25"/>
      <c r="DJ61" s="25"/>
      <c r="DK61" s="25"/>
      <c r="DL61" s="25"/>
      <c r="DM61" s="25"/>
      <c r="DN61" s="25"/>
      <c r="DO61" s="25"/>
      <c r="DP61" s="25"/>
      <c r="DQ61" s="25"/>
      <c r="DR61" s="25"/>
      <c r="DS61" s="25"/>
      <c r="DT61" s="25"/>
      <c r="DU61" s="25"/>
      <c r="DV61" s="25"/>
      <c r="DW61" s="25"/>
      <c r="DX61" s="25"/>
      <c r="DY61" s="25"/>
      <c r="DZ61" s="25"/>
      <c r="EA61" s="25"/>
      <c r="EB61" s="25"/>
      <c r="EC61" s="25"/>
      <c r="ED61" s="25"/>
      <c r="EE61" s="25"/>
      <c r="EF61" s="25"/>
      <c r="EG61" s="25"/>
      <c r="EH61" s="25"/>
      <c r="EI61" s="25"/>
      <c r="EJ61" s="25"/>
      <c r="EK61" s="25"/>
      <c r="EL61" s="25"/>
      <c r="EM61" s="25"/>
      <c r="EN61" s="25"/>
      <c r="EO61" s="25"/>
      <c r="EP61" s="25"/>
      <c r="EQ61" s="25"/>
      <c r="ER61" s="25"/>
      <c r="ES61" s="25"/>
      <c r="ET61" s="25"/>
      <c r="EU61" s="25"/>
      <c r="EV61" s="25"/>
      <c r="EW61" s="25"/>
      <c r="EX61" s="25"/>
      <c r="EY61" s="25"/>
      <c r="EZ61" s="25"/>
      <c r="FA61" s="25"/>
      <c r="FB61" s="25"/>
      <c r="FC61" s="25"/>
      <c r="FD61" s="25"/>
      <c r="FE61" s="25"/>
      <c r="FF61" s="25"/>
      <c r="FG61" s="25"/>
      <c r="FH61" s="25"/>
      <c r="FI61" s="25"/>
      <c r="FJ61" s="25"/>
      <c r="FK61" s="25"/>
      <c r="FL61" s="25"/>
      <c r="FM61" s="25"/>
      <c r="FN61" s="25"/>
      <c r="FO61" s="25"/>
      <c r="FP61" s="25"/>
      <c r="FQ61" s="25"/>
      <c r="FR61" s="25"/>
      <c r="FS61" s="25"/>
      <c r="FT61" s="25"/>
      <c r="FU61" s="25"/>
      <c r="FV61" s="25"/>
      <c r="FW61" s="25"/>
      <c r="FX61" s="25"/>
      <c r="FY61" s="25"/>
      <c r="FZ61" s="25"/>
      <c r="GA61" s="25"/>
      <c r="GB61" s="25"/>
      <c r="GC61" s="25"/>
      <c r="GD61" s="25"/>
      <c r="GE61" s="25"/>
      <c r="GF61" s="25"/>
      <c r="GG61" s="25"/>
      <c r="GH61" s="25"/>
      <c r="GI61" s="25"/>
      <c r="GJ61" s="25"/>
      <c r="GK61" s="25"/>
      <c r="GL61" s="25"/>
      <c r="GM61" s="25"/>
      <c r="GN61" s="25"/>
      <c r="GO61" s="25"/>
      <c r="GP61" s="25"/>
      <c r="GQ61" s="25"/>
      <c r="GR61" s="25"/>
      <c r="GS61" s="25"/>
      <c r="GT61" s="25"/>
    </row>
    <row r="62" spans="1:202" s="46" customFormat="1" ht="14.25" customHeight="1">
      <c r="A62" s="69" t="s">
        <v>169</v>
      </c>
      <c r="B62" s="169" t="s">
        <v>45</v>
      </c>
      <c r="C62" s="39"/>
      <c r="D62" s="39"/>
      <c r="E62" s="39"/>
      <c r="F62" s="39"/>
      <c r="G62" s="169" t="s">
        <v>45</v>
      </c>
      <c r="H62" s="39"/>
      <c r="I62" s="39"/>
      <c r="J62" s="39"/>
      <c r="K62" s="39"/>
      <c r="L62" s="170">
        <v>0.82</v>
      </c>
      <c r="M62" s="170"/>
      <c r="N62" s="170"/>
      <c r="O62" s="170"/>
      <c r="P62" s="170"/>
      <c r="Q62" s="170">
        <v>0.78</v>
      </c>
      <c r="R62" s="170"/>
      <c r="S62" s="170"/>
      <c r="T62" s="170"/>
      <c r="U62" s="170"/>
      <c r="V62" s="170">
        <v>0.76</v>
      </c>
      <c r="W62" s="170"/>
      <c r="X62" s="170"/>
      <c r="Y62" s="170"/>
      <c r="Z62" s="170"/>
      <c r="AA62" s="170">
        <v>0.75</v>
      </c>
      <c r="AB62" s="170"/>
      <c r="AC62" s="170"/>
      <c r="AD62" s="170"/>
      <c r="AE62" s="170"/>
      <c r="AF62" s="170">
        <v>0.74</v>
      </c>
      <c r="AG62" s="138" t="s">
        <v>45</v>
      </c>
      <c r="AH62" s="138" t="s">
        <v>45</v>
      </c>
      <c r="AI62" s="138" t="s">
        <v>45</v>
      </c>
      <c r="AJ62" s="138" t="s">
        <v>45</v>
      </c>
      <c r="AK62" s="170">
        <v>0.74</v>
      </c>
      <c r="AL62" s="138" t="s">
        <v>45</v>
      </c>
      <c r="AM62" s="138" t="s">
        <v>45</v>
      </c>
      <c r="AN62" s="138" t="s">
        <v>45</v>
      </c>
      <c r="AO62" s="138" t="s">
        <v>45</v>
      </c>
      <c r="AP62" s="170">
        <v>0.74</v>
      </c>
      <c r="AQ62" s="138" t="s">
        <v>45</v>
      </c>
      <c r="AR62" s="138" t="s">
        <v>45</v>
      </c>
      <c r="AS62" s="138" t="s">
        <v>45</v>
      </c>
      <c r="AT62" s="138" t="s">
        <v>45</v>
      </c>
      <c r="AU62" s="170">
        <v>0.73</v>
      </c>
      <c r="AV62" s="138" t="s">
        <v>45</v>
      </c>
      <c r="AW62" s="138" t="s">
        <v>45</v>
      </c>
      <c r="AX62" s="138" t="s">
        <v>45</v>
      </c>
      <c r="AY62" s="138" t="s">
        <v>45</v>
      </c>
      <c r="AZ62" s="170">
        <v>0.72</v>
      </c>
      <c r="BA62" s="138" t="s">
        <v>45</v>
      </c>
      <c r="BB62" s="71"/>
      <c r="BC62" s="71"/>
      <c r="BD62" s="25"/>
      <c r="BE62" s="25"/>
      <c r="BF62" s="25"/>
      <c r="BG62" s="25"/>
      <c r="BH62" s="25"/>
      <c r="BI62" s="25"/>
      <c r="BJ62" s="25"/>
      <c r="BK62" s="25"/>
      <c r="BL62" s="25"/>
      <c r="BM62" s="25"/>
      <c r="BN62" s="25"/>
      <c r="BO62" s="25"/>
      <c r="BP62" s="25"/>
      <c r="BQ62" s="25"/>
      <c r="BR62" s="25"/>
      <c r="BS62" s="25"/>
      <c r="BT62" s="25"/>
      <c r="BU62" s="25"/>
      <c r="BV62" s="25"/>
      <c r="BW62" s="25"/>
      <c r="BX62" s="25"/>
      <c r="BY62" s="25"/>
      <c r="BZ62" s="25"/>
      <c r="CA62" s="25"/>
      <c r="CB62" s="25"/>
      <c r="CC62" s="25"/>
      <c r="CD62" s="25"/>
      <c r="CE62" s="25"/>
      <c r="CF62" s="25"/>
      <c r="CG62" s="25"/>
      <c r="CH62" s="25"/>
      <c r="CI62" s="25"/>
      <c r="CJ62" s="25"/>
      <c r="CK62" s="25"/>
      <c r="CL62" s="25"/>
      <c r="CM62" s="25"/>
      <c r="CN62" s="25"/>
      <c r="CO62" s="25"/>
      <c r="CP62" s="25"/>
      <c r="CQ62" s="25"/>
      <c r="CR62" s="25"/>
      <c r="CS62" s="25"/>
      <c r="CT62" s="25"/>
      <c r="CU62" s="25"/>
      <c r="CV62" s="25"/>
      <c r="CW62" s="25"/>
      <c r="CX62" s="25"/>
      <c r="CY62" s="25"/>
      <c r="CZ62" s="25"/>
      <c r="DA62" s="25"/>
      <c r="DB62" s="25"/>
      <c r="DC62" s="25"/>
      <c r="DD62" s="25"/>
      <c r="DE62" s="25"/>
      <c r="DF62" s="25"/>
      <c r="DG62" s="25"/>
      <c r="DH62" s="25"/>
      <c r="DI62" s="25"/>
      <c r="DJ62" s="25"/>
      <c r="DK62" s="25"/>
      <c r="DL62" s="25"/>
      <c r="DM62" s="25"/>
      <c r="DN62" s="25"/>
      <c r="DO62" s="25"/>
      <c r="DP62" s="25"/>
      <c r="DQ62" s="25"/>
      <c r="DR62" s="25"/>
      <c r="DS62" s="25"/>
      <c r="DT62" s="25"/>
      <c r="DU62" s="25"/>
      <c r="DV62" s="25"/>
      <c r="DW62" s="25"/>
      <c r="DX62" s="25"/>
      <c r="DY62" s="25"/>
      <c r="DZ62" s="25"/>
      <c r="EA62" s="25"/>
      <c r="EB62" s="25"/>
      <c r="EC62" s="25"/>
      <c r="ED62" s="25"/>
      <c r="EE62" s="25"/>
      <c r="EF62" s="25"/>
      <c r="EG62" s="25"/>
      <c r="EH62" s="25"/>
      <c r="EI62" s="25"/>
      <c r="EJ62" s="25"/>
      <c r="EK62" s="25"/>
      <c r="EL62" s="25"/>
      <c r="EM62" s="25"/>
      <c r="EN62" s="25"/>
      <c r="EO62" s="25"/>
      <c r="EP62" s="25"/>
      <c r="EQ62" s="25"/>
      <c r="ER62" s="25"/>
      <c r="ES62" s="25"/>
      <c r="ET62" s="25"/>
      <c r="EU62" s="25"/>
      <c r="EV62" s="25"/>
      <c r="EW62" s="25"/>
      <c r="EX62" s="25"/>
      <c r="EY62" s="25"/>
      <c r="EZ62" s="25"/>
      <c r="FA62" s="25"/>
      <c r="FB62" s="25"/>
      <c r="FC62" s="25"/>
      <c r="FD62" s="25"/>
      <c r="FE62" s="25"/>
      <c r="FF62" s="25"/>
      <c r="FG62" s="25"/>
      <c r="FH62" s="25"/>
      <c r="FI62" s="25"/>
      <c r="FJ62" s="25"/>
      <c r="FK62" s="25"/>
      <c r="FL62" s="25"/>
      <c r="FM62" s="25"/>
      <c r="FN62" s="25"/>
      <c r="FO62" s="25"/>
      <c r="FP62" s="25"/>
      <c r="FQ62" s="25"/>
      <c r="FR62" s="25"/>
      <c r="FS62" s="25"/>
      <c r="FT62" s="25"/>
      <c r="FU62" s="25"/>
      <c r="FV62" s="25"/>
      <c r="FW62" s="25"/>
      <c r="FX62" s="25"/>
      <c r="FY62" s="25"/>
      <c r="FZ62" s="25"/>
      <c r="GA62" s="25"/>
      <c r="GB62" s="25"/>
      <c r="GC62" s="25"/>
      <c r="GD62" s="25"/>
      <c r="GE62" s="25"/>
      <c r="GF62" s="25"/>
      <c r="GG62" s="25"/>
      <c r="GH62" s="25"/>
      <c r="GI62" s="25"/>
      <c r="GJ62" s="25"/>
      <c r="GK62" s="25"/>
      <c r="GL62" s="25"/>
      <c r="GM62" s="25"/>
      <c r="GN62" s="25"/>
      <c r="GO62" s="25"/>
      <c r="GP62" s="25"/>
      <c r="GQ62" s="25"/>
      <c r="GR62" s="25"/>
      <c r="GS62" s="25"/>
      <c r="GT62" s="25"/>
    </row>
    <row r="63" spans="1:202" s="46" customFormat="1" ht="3.75" customHeight="1">
      <c r="A63" s="44"/>
      <c r="BB63" s="25"/>
      <c r="BC63" s="25"/>
      <c r="BD63" s="25"/>
      <c r="BE63" s="25"/>
      <c r="BF63" s="25"/>
      <c r="BG63" s="25"/>
      <c r="BH63" s="25"/>
      <c r="BI63" s="25"/>
      <c r="BJ63" s="25"/>
      <c r="BK63" s="25"/>
      <c r="BL63" s="25"/>
      <c r="BM63" s="25"/>
      <c r="BN63" s="25"/>
      <c r="BO63" s="25"/>
      <c r="BP63" s="25"/>
      <c r="BQ63" s="25"/>
      <c r="BR63" s="25"/>
      <c r="BS63" s="25"/>
      <c r="BT63" s="25"/>
      <c r="BU63" s="25"/>
      <c r="BV63" s="25"/>
      <c r="BW63" s="25"/>
      <c r="BX63" s="25"/>
      <c r="BY63" s="25"/>
      <c r="BZ63" s="25"/>
      <c r="CA63" s="25"/>
      <c r="CB63" s="25"/>
      <c r="CC63" s="25"/>
      <c r="CD63" s="25"/>
      <c r="CE63" s="25"/>
      <c r="CF63" s="25"/>
      <c r="CG63" s="25"/>
      <c r="CH63" s="25"/>
      <c r="CI63" s="25"/>
      <c r="CJ63" s="25"/>
      <c r="CK63" s="25"/>
      <c r="CL63" s="25"/>
      <c r="CM63" s="25"/>
      <c r="CN63" s="25"/>
      <c r="CO63" s="25"/>
      <c r="CP63" s="25"/>
      <c r="CQ63" s="25"/>
      <c r="CR63" s="25"/>
      <c r="CS63" s="25"/>
      <c r="CT63" s="25"/>
      <c r="CU63" s="25"/>
      <c r="CV63" s="25"/>
      <c r="CW63" s="25"/>
      <c r="CX63" s="25"/>
      <c r="CY63" s="25"/>
      <c r="CZ63" s="25"/>
      <c r="DA63" s="25"/>
      <c r="DB63" s="25"/>
      <c r="DC63" s="25"/>
      <c r="DD63" s="25"/>
      <c r="DE63" s="25"/>
      <c r="DF63" s="25"/>
      <c r="DG63" s="25"/>
      <c r="DH63" s="25"/>
      <c r="DI63" s="25"/>
      <c r="DJ63" s="25"/>
      <c r="DK63" s="25"/>
      <c r="DL63" s="25"/>
      <c r="DM63" s="25"/>
      <c r="DN63" s="25"/>
      <c r="DO63" s="25"/>
      <c r="DP63" s="25"/>
      <c r="DQ63" s="25"/>
      <c r="DR63" s="25"/>
      <c r="DS63" s="25"/>
      <c r="DT63" s="25"/>
      <c r="DU63" s="25"/>
      <c r="DV63" s="25"/>
      <c r="DW63" s="25"/>
      <c r="DX63" s="25"/>
      <c r="DY63" s="25"/>
      <c r="DZ63" s="25"/>
      <c r="EA63" s="25"/>
      <c r="EB63" s="25"/>
      <c r="EC63" s="25"/>
      <c r="ED63" s="25"/>
      <c r="EE63" s="25"/>
      <c r="EF63" s="25"/>
      <c r="EG63" s="25"/>
      <c r="EH63" s="25"/>
      <c r="EI63" s="25"/>
      <c r="EJ63" s="25"/>
      <c r="EK63" s="25"/>
      <c r="EL63" s="25"/>
      <c r="EM63" s="25"/>
      <c r="EN63" s="25"/>
      <c r="EO63" s="25"/>
      <c r="EP63" s="25"/>
      <c r="EQ63" s="25"/>
      <c r="ER63" s="25"/>
      <c r="ES63" s="25"/>
      <c r="ET63" s="25"/>
      <c r="EU63" s="25"/>
      <c r="EV63" s="25"/>
      <c r="EW63" s="25"/>
      <c r="EX63" s="25"/>
      <c r="EY63" s="25"/>
      <c r="EZ63" s="25"/>
      <c r="FA63" s="25"/>
      <c r="FB63" s="25"/>
      <c r="FC63" s="25"/>
      <c r="FD63" s="25"/>
      <c r="FE63" s="25"/>
      <c r="FF63" s="25"/>
      <c r="FG63" s="25"/>
      <c r="FH63" s="25"/>
      <c r="FI63" s="25"/>
      <c r="FJ63" s="25"/>
      <c r="FK63" s="25"/>
      <c r="FL63" s="25"/>
      <c r="FM63" s="25"/>
      <c r="FN63" s="25"/>
      <c r="FO63" s="25"/>
      <c r="FP63" s="25"/>
      <c r="FQ63" s="25"/>
      <c r="FR63" s="25"/>
      <c r="FS63" s="25"/>
      <c r="FT63" s="25"/>
      <c r="FU63" s="25"/>
      <c r="FV63" s="25"/>
      <c r="FW63" s="25"/>
      <c r="FX63" s="25"/>
      <c r="FY63" s="25"/>
      <c r="FZ63" s="25"/>
      <c r="GA63" s="25"/>
      <c r="GB63" s="25"/>
      <c r="GC63" s="25"/>
      <c r="GD63" s="25"/>
      <c r="GE63" s="25"/>
      <c r="GF63" s="25"/>
      <c r="GG63" s="25"/>
      <c r="GH63" s="25"/>
      <c r="GI63" s="25"/>
      <c r="GJ63" s="25"/>
      <c r="GK63" s="25"/>
      <c r="GL63" s="25"/>
      <c r="GM63" s="25"/>
      <c r="GN63" s="25"/>
      <c r="GO63" s="25"/>
      <c r="GP63" s="25"/>
      <c r="GQ63" s="25"/>
      <c r="GR63" s="25"/>
      <c r="GS63" s="25"/>
      <c r="GT63" s="25"/>
    </row>
    <row r="64" spans="1:202" s="46" customFormat="1" ht="11.25" customHeight="1">
      <c r="A64" s="95"/>
      <c r="B64" s="71"/>
      <c r="C64" s="71"/>
      <c r="D64" s="71"/>
      <c r="E64" s="71"/>
      <c r="F64" s="71"/>
      <c r="G64" s="71"/>
      <c r="H64" s="71"/>
      <c r="I64" s="71"/>
      <c r="J64" s="71"/>
      <c r="K64" s="71"/>
      <c r="L64" s="71"/>
      <c r="M64" s="71"/>
      <c r="N64" s="71"/>
      <c r="O64" s="71"/>
      <c r="P64" s="71"/>
      <c r="Q64" s="71"/>
      <c r="R64" s="71"/>
      <c r="S64" s="71"/>
      <c r="T64" s="71"/>
      <c r="U64" s="71"/>
      <c r="V64" s="71"/>
      <c r="W64" s="71"/>
      <c r="X64" s="71"/>
      <c r="Y64" s="71"/>
      <c r="Z64" s="71"/>
      <c r="AA64" s="71"/>
      <c r="AB64" s="71"/>
      <c r="AC64" s="71"/>
      <c r="AD64" s="71"/>
      <c r="AE64" s="71"/>
      <c r="AF64" s="71"/>
      <c r="AG64" s="71"/>
      <c r="AH64" s="71"/>
      <c r="AI64" s="71"/>
      <c r="AJ64" s="71"/>
      <c r="AK64" s="71"/>
      <c r="AL64" s="71"/>
      <c r="AM64" s="71"/>
      <c r="AN64" s="71"/>
      <c r="AO64" s="71"/>
      <c r="AP64" s="71"/>
      <c r="AQ64" s="71"/>
      <c r="AR64" s="71"/>
      <c r="AS64" s="71"/>
      <c r="AT64" s="71"/>
      <c r="AU64" s="71"/>
      <c r="AV64" s="71"/>
      <c r="AW64" s="71"/>
      <c r="AX64" s="71"/>
      <c r="AY64" s="71"/>
      <c r="AZ64" s="71"/>
      <c r="BA64" s="71"/>
      <c r="BB64" s="25"/>
      <c r="BC64" s="25"/>
      <c r="BD64" s="25"/>
      <c r="BE64" s="25"/>
      <c r="BF64" s="25"/>
      <c r="BG64" s="25"/>
      <c r="BH64" s="25"/>
      <c r="BI64" s="25"/>
      <c r="BJ64" s="25"/>
      <c r="BK64" s="25"/>
      <c r="BL64" s="25"/>
      <c r="BM64" s="25"/>
      <c r="BN64" s="25"/>
      <c r="BO64" s="25"/>
      <c r="BP64" s="25"/>
      <c r="BQ64" s="25"/>
      <c r="BR64" s="25"/>
      <c r="BS64" s="25"/>
      <c r="BT64" s="25"/>
      <c r="BU64" s="25"/>
      <c r="BV64" s="25"/>
      <c r="BW64" s="25"/>
      <c r="BX64" s="25"/>
      <c r="BY64" s="25"/>
      <c r="BZ64" s="25"/>
      <c r="CA64" s="25"/>
      <c r="CB64" s="25"/>
      <c r="CC64" s="25"/>
      <c r="CD64" s="25"/>
      <c r="CE64" s="25"/>
      <c r="CF64" s="25"/>
      <c r="CG64" s="25"/>
      <c r="CH64" s="25"/>
      <c r="CI64" s="25"/>
      <c r="CJ64" s="25"/>
      <c r="CK64" s="25"/>
      <c r="CL64" s="25"/>
      <c r="CM64" s="25"/>
      <c r="CN64" s="25"/>
      <c r="CO64" s="25"/>
      <c r="CP64" s="25"/>
      <c r="CQ64" s="25"/>
      <c r="CR64" s="25"/>
      <c r="CS64" s="25"/>
      <c r="CT64" s="25"/>
      <c r="CU64" s="25"/>
      <c r="CV64" s="25"/>
      <c r="CW64" s="25"/>
      <c r="CX64" s="25"/>
      <c r="CY64" s="25"/>
      <c r="CZ64" s="25"/>
      <c r="DA64" s="25"/>
      <c r="DB64" s="25"/>
      <c r="DC64" s="25"/>
      <c r="DD64" s="25"/>
      <c r="DE64" s="25"/>
      <c r="DF64" s="25"/>
      <c r="DG64" s="25"/>
      <c r="DH64" s="25"/>
      <c r="DI64" s="25"/>
      <c r="DJ64" s="25"/>
      <c r="DK64" s="25"/>
      <c r="DL64" s="25"/>
      <c r="DM64" s="25"/>
      <c r="DN64" s="25"/>
      <c r="DO64" s="25"/>
      <c r="DP64" s="25"/>
      <c r="DQ64" s="25"/>
      <c r="DR64" s="25"/>
      <c r="DS64" s="25"/>
      <c r="DT64" s="25"/>
      <c r="DU64" s="25"/>
      <c r="DV64" s="25"/>
      <c r="DW64" s="25"/>
      <c r="DX64" s="25"/>
      <c r="DY64" s="25"/>
      <c r="DZ64" s="25"/>
      <c r="EA64" s="25"/>
      <c r="EB64" s="25"/>
      <c r="EC64" s="25"/>
      <c r="ED64" s="25"/>
      <c r="EE64" s="25"/>
      <c r="EF64" s="25"/>
      <c r="EG64" s="25"/>
      <c r="EH64" s="25"/>
      <c r="EI64" s="25"/>
      <c r="EJ64" s="25"/>
      <c r="EK64" s="25"/>
      <c r="EL64" s="25"/>
      <c r="EM64" s="25"/>
      <c r="EN64" s="25"/>
      <c r="EO64" s="25"/>
      <c r="EP64" s="25"/>
      <c r="EQ64" s="25"/>
      <c r="ER64" s="25"/>
      <c r="ES64" s="25"/>
      <c r="ET64" s="25"/>
      <c r="EU64" s="25"/>
      <c r="EV64" s="25"/>
      <c r="EW64" s="25"/>
      <c r="EX64" s="25"/>
      <c r="EY64" s="25"/>
      <c r="EZ64" s="25"/>
      <c r="FA64" s="25"/>
      <c r="FB64" s="25"/>
      <c r="FC64" s="25"/>
      <c r="FD64" s="25"/>
      <c r="FE64" s="25"/>
      <c r="FF64" s="25"/>
      <c r="FG64" s="25"/>
      <c r="FH64" s="25"/>
      <c r="FI64" s="25"/>
      <c r="FJ64" s="25"/>
      <c r="FK64" s="25"/>
      <c r="FL64" s="25"/>
      <c r="FM64" s="25"/>
      <c r="FN64" s="25"/>
      <c r="FO64" s="25"/>
      <c r="FP64" s="25"/>
      <c r="FQ64" s="25"/>
      <c r="FR64" s="25"/>
      <c r="FS64" s="25"/>
      <c r="FT64" s="25"/>
      <c r="FU64" s="25"/>
      <c r="FV64" s="25"/>
      <c r="FW64" s="25"/>
      <c r="FX64" s="25"/>
      <c r="FY64" s="25"/>
      <c r="FZ64" s="25"/>
      <c r="GA64" s="25"/>
      <c r="GB64" s="25"/>
      <c r="GC64" s="25"/>
      <c r="GD64" s="25"/>
      <c r="GE64" s="25"/>
      <c r="GF64" s="25"/>
      <c r="GG64" s="25"/>
      <c r="GH64" s="25"/>
      <c r="GI64" s="25"/>
      <c r="GJ64" s="25"/>
      <c r="GK64" s="25"/>
      <c r="GL64" s="25"/>
      <c r="GM64" s="25"/>
      <c r="GN64" s="25"/>
      <c r="GO64" s="25"/>
      <c r="GP64" s="25"/>
      <c r="GQ64" s="25"/>
      <c r="GR64" s="25"/>
      <c r="GS64" s="25"/>
      <c r="GT64" s="25"/>
    </row>
    <row r="65" spans="1:202" s="46" customFormat="1" ht="4.5" customHeight="1">
      <c r="A65" s="44"/>
      <c r="BB65" s="25"/>
      <c r="BC65" s="25"/>
      <c r="BD65" s="25"/>
      <c r="BE65" s="25"/>
      <c r="BF65" s="25"/>
      <c r="BG65" s="25"/>
      <c r="BH65" s="25"/>
      <c r="BI65" s="25"/>
      <c r="BJ65" s="25"/>
      <c r="BK65" s="25"/>
      <c r="BL65" s="25"/>
      <c r="BM65" s="25"/>
      <c r="BN65" s="25"/>
      <c r="BO65" s="25"/>
      <c r="BP65" s="25"/>
      <c r="BQ65" s="25"/>
      <c r="BR65" s="25"/>
      <c r="BS65" s="25"/>
      <c r="BT65" s="25"/>
      <c r="BU65" s="25"/>
      <c r="BV65" s="25"/>
      <c r="BW65" s="25"/>
      <c r="BX65" s="25"/>
      <c r="BY65" s="25"/>
      <c r="BZ65" s="25"/>
      <c r="CA65" s="25"/>
      <c r="CB65" s="25"/>
      <c r="CC65" s="25"/>
      <c r="CD65" s="25"/>
      <c r="CE65" s="25"/>
      <c r="CF65" s="25"/>
      <c r="CG65" s="25"/>
      <c r="CH65" s="25"/>
      <c r="CI65" s="25"/>
      <c r="CJ65" s="25"/>
      <c r="CK65" s="25"/>
      <c r="CL65" s="25"/>
      <c r="CM65" s="25"/>
      <c r="CN65" s="25"/>
      <c r="CO65" s="25"/>
      <c r="CP65" s="25"/>
      <c r="CQ65" s="25"/>
      <c r="CR65" s="25"/>
      <c r="CS65" s="25"/>
      <c r="CT65" s="25"/>
      <c r="CU65" s="25"/>
      <c r="CV65" s="25"/>
      <c r="CW65" s="25"/>
      <c r="CX65" s="25"/>
      <c r="CY65" s="25"/>
      <c r="CZ65" s="25"/>
      <c r="DA65" s="25"/>
      <c r="DB65" s="25"/>
      <c r="DC65" s="25"/>
      <c r="DD65" s="25"/>
      <c r="DE65" s="25"/>
      <c r="DF65" s="25"/>
      <c r="DG65" s="25"/>
      <c r="DH65" s="25"/>
      <c r="DI65" s="25"/>
      <c r="DJ65" s="25"/>
      <c r="DK65" s="25"/>
      <c r="DL65" s="25"/>
      <c r="DM65" s="25"/>
      <c r="DN65" s="25"/>
      <c r="DO65" s="25"/>
      <c r="DP65" s="25"/>
      <c r="DQ65" s="25"/>
      <c r="DR65" s="25"/>
      <c r="DS65" s="25"/>
      <c r="DT65" s="25"/>
      <c r="DU65" s="25"/>
      <c r="DV65" s="25"/>
      <c r="DW65" s="25"/>
      <c r="DX65" s="25"/>
      <c r="DY65" s="25"/>
      <c r="DZ65" s="25"/>
      <c r="EA65" s="25"/>
      <c r="EB65" s="25"/>
      <c r="EC65" s="25"/>
      <c r="ED65" s="25"/>
      <c r="EE65" s="25"/>
      <c r="EF65" s="25"/>
      <c r="EG65" s="25"/>
      <c r="EH65" s="25"/>
      <c r="EI65" s="25"/>
      <c r="EJ65" s="25"/>
      <c r="EK65" s="25"/>
      <c r="EL65" s="25"/>
      <c r="EM65" s="25"/>
      <c r="EN65" s="25"/>
      <c r="EO65" s="25"/>
      <c r="EP65" s="25"/>
      <c r="EQ65" s="25"/>
      <c r="ER65" s="25"/>
      <c r="ES65" s="25"/>
      <c r="ET65" s="25"/>
      <c r="EU65" s="25"/>
      <c r="EV65" s="25"/>
      <c r="EW65" s="25"/>
      <c r="EX65" s="25"/>
      <c r="EY65" s="25"/>
      <c r="EZ65" s="25"/>
      <c r="FA65" s="25"/>
      <c r="FB65" s="25"/>
      <c r="FC65" s="25"/>
      <c r="FD65" s="25"/>
      <c r="FE65" s="25"/>
      <c r="FF65" s="25"/>
      <c r="FG65" s="25"/>
      <c r="FH65" s="25"/>
      <c r="FI65" s="25"/>
      <c r="FJ65" s="25"/>
      <c r="FK65" s="25"/>
      <c r="FL65" s="25"/>
      <c r="FM65" s="25"/>
      <c r="FN65" s="25"/>
      <c r="FO65" s="25"/>
      <c r="FP65" s="25"/>
      <c r="FQ65" s="25"/>
      <c r="FR65" s="25"/>
      <c r="FS65" s="25"/>
      <c r="FT65" s="25"/>
      <c r="FU65" s="25"/>
      <c r="FV65" s="25"/>
      <c r="FW65" s="25"/>
      <c r="FX65" s="25"/>
      <c r="FY65" s="25"/>
      <c r="FZ65" s="25"/>
      <c r="GA65" s="25"/>
      <c r="GB65" s="25"/>
      <c r="GC65" s="25"/>
      <c r="GD65" s="25"/>
      <c r="GE65" s="25"/>
      <c r="GF65" s="25"/>
      <c r="GG65" s="25"/>
      <c r="GH65" s="25"/>
      <c r="GI65" s="25"/>
      <c r="GJ65" s="25"/>
      <c r="GK65" s="25"/>
      <c r="GL65" s="25"/>
      <c r="GM65" s="25"/>
      <c r="GN65" s="25"/>
      <c r="GO65" s="25"/>
      <c r="GP65" s="25"/>
      <c r="GQ65" s="25"/>
      <c r="GR65" s="25"/>
      <c r="GS65" s="25"/>
      <c r="GT65" s="25"/>
    </row>
    <row r="66" spans="1:202" ht="20.25">
      <c r="A66" s="35" t="s">
        <v>3</v>
      </c>
      <c r="B66" s="21"/>
      <c r="C66" s="21"/>
      <c r="D66" s="21"/>
      <c r="E66" s="21"/>
      <c r="F66" s="21"/>
      <c r="G66" s="21"/>
      <c r="H66" s="21"/>
      <c r="I66" s="21"/>
      <c r="J66" s="21"/>
      <c r="K66" s="21"/>
      <c r="L66" s="21"/>
      <c r="M66" s="21"/>
      <c r="N66" s="21"/>
      <c r="O66" s="21"/>
      <c r="P66" s="21"/>
      <c r="Q66" s="21"/>
      <c r="R66" s="21"/>
      <c r="S66" s="21"/>
      <c r="T66" s="21"/>
      <c r="U66" s="21"/>
      <c r="V66" s="21"/>
      <c r="W66" s="21"/>
      <c r="X66" s="21"/>
      <c r="Y66" s="21"/>
      <c r="Z66" s="21"/>
      <c r="AA66" s="21"/>
      <c r="AB66" s="21"/>
      <c r="AC66" s="21"/>
      <c r="AD66" s="21"/>
      <c r="AE66" s="21"/>
      <c r="AF66" s="21"/>
      <c r="AG66" s="21"/>
      <c r="AH66" s="21"/>
      <c r="AI66" s="21"/>
      <c r="AJ66" s="21"/>
      <c r="AK66" s="21"/>
      <c r="AL66" s="21"/>
      <c r="AM66" s="21"/>
      <c r="AN66" s="21"/>
      <c r="AO66" s="21"/>
      <c r="AP66" s="21"/>
      <c r="AQ66" s="21"/>
      <c r="AR66" s="21"/>
      <c r="AS66" s="21"/>
      <c r="AT66" s="21"/>
      <c r="AU66" s="21"/>
      <c r="AV66" s="21"/>
      <c r="AW66" s="21"/>
      <c r="AX66" s="21"/>
      <c r="AY66" s="21"/>
      <c r="AZ66" s="21"/>
      <c r="BA66" s="21"/>
      <c r="BB66" s="4"/>
      <c r="BC66" s="4"/>
      <c r="BD66" s="4"/>
      <c r="BE66" s="4"/>
      <c r="BF66" s="4"/>
      <c r="BG66" s="4"/>
      <c r="BH66" s="4"/>
    </row>
    <row r="67" spans="1:202" s="43" customFormat="1">
      <c r="A67" s="40" t="s">
        <v>27</v>
      </c>
      <c r="B67" s="96"/>
      <c r="C67" s="42"/>
      <c r="D67" s="42"/>
      <c r="E67" s="42"/>
      <c r="F67" s="42"/>
      <c r="G67" s="41"/>
      <c r="H67" s="42"/>
      <c r="I67" s="42"/>
      <c r="J67" s="42"/>
      <c r="K67" s="42"/>
      <c r="L67" s="42"/>
      <c r="M67" s="42"/>
      <c r="N67" s="42"/>
      <c r="O67" s="42"/>
      <c r="P67" s="42"/>
      <c r="Q67" s="42"/>
      <c r="R67" s="42"/>
      <c r="S67" s="42"/>
      <c r="T67" s="42"/>
      <c r="U67" s="42"/>
      <c r="V67" s="42"/>
      <c r="W67" s="42"/>
      <c r="X67" s="42"/>
      <c r="Y67" s="42"/>
      <c r="Z67" s="42"/>
      <c r="AA67" s="42"/>
      <c r="AB67" s="42"/>
      <c r="AC67" s="42"/>
      <c r="AD67" s="42"/>
      <c r="AE67" s="42"/>
      <c r="AF67" s="42"/>
      <c r="AG67" s="42"/>
      <c r="AH67" s="42"/>
      <c r="AI67" s="42"/>
      <c r="AJ67" s="42"/>
      <c r="AK67" s="42"/>
      <c r="AL67" s="42"/>
      <c r="AM67" s="42"/>
      <c r="AN67" s="42"/>
      <c r="AO67" s="42"/>
      <c r="AP67" s="42"/>
      <c r="AQ67" s="42"/>
      <c r="AR67" s="42"/>
      <c r="AS67" s="42"/>
      <c r="AT67" s="42"/>
      <c r="AU67" s="42"/>
      <c r="AV67" s="42"/>
      <c r="AW67" s="42"/>
      <c r="AX67" s="42"/>
      <c r="AY67" s="42"/>
      <c r="AZ67" s="42"/>
      <c r="BA67" s="42"/>
      <c r="BB67" s="1"/>
      <c r="BC67" s="1"/>
      <c r="BD67" s="1"/>
      <c r="BE67" s="1"/>
      <c r="BF67" s="1"/>
      <c r="BG67" s="1"/>
      <c r="BH67" s="1"/>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4"/>
      <c r="CW67" s="4"/>
      <c r="CX67" s="4"/>
      <c r="CY67" s="4"/>
      <c r="CZ67" s="4"/>
      <c r="DA67" s="4"/>
      <c r="DB67" s="4"/>
      <c r="DC67" s="4"/>
      <c r="DD67" s="4"/>
      <c r="DE67" s="4"/>
      <c r="DF67" s="4"/>
      <c r="DG67" s="4"/>
      <c r="DH67" s="4"/>
      <c r="DI67" s="4"/>
      <c r="DJ67" s="4"/>
      <c r="DK67" s="4"/>
      <c r="DL67" s="4"/>
      <c r="DM67" s="4"/>
      <c r="DN67" s="4"/>
      <c r="DO67" s="4"/>
      <c r="DP67" s="4"/>
      <c r="DQ67" s="4"/>
      <c r="DR67" s="4"/>
      <c r="DS67" s="4"/>
      <c r="DT67" s="4"/>
      <c r="DU67" s="4"/>
      <c r="DV67" s="4"/>
      <c r="DW67" s="4"/>
      <c r="DX67" s="4"/>
      <c r="DY67" s="4"/>
      <c r="DZ67" s="4"/>
      <c r="EA67" s="4"/>
      <c r="EB67" s="4"/>
      <c r="EC67" s="4"/>
      <c r="ED67" s="4"/>
      <c r="EE67" s="4"/>
      <c r="EF67" s="4"/>
      <c r="EG67" s="4"/>
      <c r="EH67" s="4"/>
      <c r="EI67" s="4"/>
      <c r="EJ67" s="4"/>
      <c r="EK67" s="4"/>
      <c r="EL67" s="4"/>
      <c r="EM67" s="4"/>
      <c r="EN67" s="4"/>
      <c r="EO67" s="4"/>
      <c r="EP67" s="4"/>
      <c r="EQ67" s="4"/>
      <c r="ER67" s="4"/>
      <c r="ES67" s="4"/>
      <c r="ET67" s="4"/>
      <c r="EU67" s="4"/>
      <c r="EV67" s="4"/>
      <c r="EW67" s="4"/>
      <c r="EX67" s="4"/>
      <c r="EY67" s="4"/>
      <c r="EZ67" s="4"/>
      <c r="FA67" s="4"/>
      <c r="FB67" s="4"/>
      <c r="FC67" s="4"/>
      <c r="FD67" s="4"/>
      <c r="FE67" s="4"/>
      <c r="FF67" s="4"/>
      <c r="FG67" s="4"/>
      <c r="FH67" s="4"/>
      <c r="FI67" s="4"/>
      <c r="FJ67" s="4"/>
      <c r="FK67" s="4"/>
      <c r="FL67" s="4"/>
      <c r="FM67" s="4"/>
      <c r="FN67" s="4"/>
      <c r="FO67" s="4"/>
      <c r="FP67" s="4"/>
      <c r="FQ67" s="4"/>
      <c r="FR67" s="4"/>
      <c r="FS67" s="4"/>
      <c r="FT67" s="4"/>
      <c r="FU67" s="4"/>
      <c r="FV67" s="4"/>
      <c r="FW67" s="4"/>
      <c r="FX67" s="4"/>
      <c r="FY67" s="4"/>
      <c r="FZ67" s="4"/>
      <c r="GA67" s="4"/>
      <c r="GB67" s="4"/>
      <c r="GC67" s="4"/>
      <c r="GD67" s="4"/>
      <c r="GE67" s="4"/>
      <c r="GF67" s="4"/>
      <c r="GG67" s="4"/>
      <c r="GH67" s="4"/>
      <c r="GI67" s="4"/>
      <c r="GJ67" s="4"/>
      <c r="GK67" s="4"/>
      <c r="GL67" s="4"/>
      <c r="GM67" s="4"/>
      <c r="GN67" s="4"/>
      <c r="GO67" s="4"/>
      <c r="GP67" s="4"/>
      <c r="GQ67" s="4"/>
      <c r="GR67" s="4"/>
      <c r="GS67" s="4"/>
      <c r="GT67" s="4"/>
    </row>
    <row r="68" spans="1:202" s="34" customFormat="1">
      <c r="A68" s="69"/>
      <c r="B68" s="29"/>
      <c r="C68" s="69"/>
      <c r="D68" s="69"/>
      <c r="E68" s="69"/>
      <c r="F68" s="69"/>
      <c r="G68" s="29"/>
      <c r="H68" s="69"/>
      <c r="I68" s="69"/>
      <c r="J68" s="69"/>
      <c r="K68" s="69"/>
      <c r="L68" s="21"/>
      <c r="M68" s="69"/>
      <c r="N68" s="69"/>
      <c r="O68" s="69"/>
      <c r="P68" s="69"/>
      <c r="Q68" s="21"/>
      <c r="R68" s="69"/>
      <c r="S68" s="69"/>
      <c r="T68" s="69"/>
      <c r="U68" s="69"/>
      <c r="V68" s="21"/>
      <c r="W68" s="69"/>
      <c r="X68" s="69"/>
      <c r="Y68" s="69"/>
      <c r="Z68" s="69"/>
      <c r="AA68" s="21"/>
      <c r="AB68" s="69"/>
      <c r="AC68" s="69"/>
      <c r="AD68" s="69"/>
      <c r="AE68" s="69"/>
      <c r="AF68" s="21"/>
      <c r="AG68" s="69"/>
      <c r="AH68" s="69"/>
      <c r="AI68" s="69"/>
      <c r="AJ68" s="69"/>
      <c r="AK68" s="21"/>
      <c r="AL68" s="69"/>
      <c r="AM68" s="69"/>
      <c r="AN68" s="69"/>
      <c r="AO68" s="69"/>
      <c r="AP68" s="21"/>
      <c r="AQ68" s="69"/>
      <c r="AR68" s="69"/>
      <c r="AS68" s="69"/>
      <c r="AT68" s="69"/>
      <c r="AU68" s="21"/>
      <c r="AV68" s="69"/>
      <c r="AW68" s="69"/>
      <c r="AX68" s="69"/>
      <c r="AY68" s="69"/>
      <c r="AZ68" s="21"/>
      <c r="BA68" s="69"/>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4"/>
      <c r="CW68" s="4"/>
      <c r="CX68" s="4"/>
      <c r="CY68" s="4"/>
      <c r="CZ68" s="4"/>
      <c r="DA68" s="4"/>
      <c r="DB68" s="4"/>
      <c r="DC68" s="4"/>
      <c r="DD68" s="4"/>
      <c r="DE68" s="4"/>
      <c r="DF68" s="4"/>
      <c r="DG68" s="4"/>
      <c r="DH68" s="4"/>
      <c r="DI68" s="4"/>
      <c r="DJ68" s="4"/>
      <c r="DK68" s="4"/>
      <c r="DL68" s="4"/>
      <c r="DM68" s="4"/>
      <c r="DN68" s="4"/>
      <c r="DO68" s="4"/>
      <c r="DP68" s="4"/>
      <c r="DQ68" s="4"/>
      <c r="DR68" s="4"/>
      <c r="DS68" s="4"/>
      <c r="DT68" s="4"/>
      <c r="DU68" s="4"/>
      <c r="DV68" s="4"/>
      <c r="DW68" s="4"/>
      <c r="DX68" s="4"/>
      <c r="DY68" s="4"/>
      <c r="DZ68" s="4"/>
      <c r="EA68" s="4"/>
      <c r="EB68" s="4"/>
      <c r="EC68" s="4"/>
      <c r="ED68" s="4"/>
      <c r="EE68" s="4"/>
      <c r="EF68" s="4"/>
      <c r="EG68" s="4"/>
      <c r="EH68" s="4"/>
      <c r="EI68" s="4"/>
      <c r="EJ68" s="4"/>
      <c r="EK68" s="4"/>
      <c r="EL68" s="4"/>
      <c r="EM68" s="4"/>
      <c r="EN68" s="4"/>
      <c r="EO68" s="4"/>
      <c r="EP68" s="4"/>
      <c r="EQ68" s="4"/>
      <c r="ER68" s="4"/>
      <c r="ES68" s="4"/>
      <c r="ET68" s="4"/>
      <c r="EU68" s="4"/>
      <c r="EV68" s="4"/>
      <c r="EW68" s="4"/>
      <c r="EX68" s="4"/>
      <c r="EY68" s="4"/>
      <c r="EZ68" s="4"/>
      <c r="FA68" s="4"/>
      <c r="FB68" s="4"/>
      <c r="FC68" s="4"/>
      <c r="FD68" s="4"/>
      <c r="FE68" s="4"/>
      <c r="FF68" s="4"/>
      <c r="FG68" s="4"/>
      <c r="FH68" s="4"/>
      <c r="FI68" s="4"/>
      <c r="FJ68" s="4"/>
      <c r="FK68" s="4"/>
      <c r="FL68" s="4"/>
      <c r="FM68" s="4"/>
      <c r="FN68" s="4"/>
      <c r="FO68" s="4"/>
      <c r="FP68" s="4"/>
      <c r="FQ68" s="4"/>
      <c r="FR68" s="4"/>
      <c r="FS68" s="4"/>
      <c r="FT68" s="4"/>
      <c r="FU68" s="4"/>
      <c r="FV68" s="4"/>
      <c r="FW68" s="4"/>
      <c r="FX68" s="4"/>
      <c r="FY68" s="4"/>
      <c r="FZ68" s="4"/>
      <c r="GA68" s="4"/>
      <c r="GB68" s="4"/>
      <c r="GC68" s="4"/>
      <c r="GD68" s="4"/>
      <c r="GE68" s="4"/>
      <c r="GF68" s="4"/>
      <c r="GG68" s="4"/>
      <c r="GH68" s="4"/>
      <c r="GI68" s="4"/>
      <c r="GJ68" s="4"/>
      <c r="GK68" s="4"/>
      <c r="GL68" s="4"/>
      <c r="GM68" s="4"/>
      <c r="GN68" s="4"/>
      <c r="GO68" s="4"/>
      <c r="GP68" s="4"/>
      <c r="GQ68" s="4"/>
      <c r="GR68" s="4"/>
      <c r="GS68" s="4"/>
      <c r="GT68" s="4"/>
    </row>
    <row r="69" spans="1:202" s="2" customFormat="1">
      <c r="A69" s="69" t="s">
        <v>154</v>
      </c>
      <c r="B69" s="38">
        <v>2622</v>
      </c>
      <c r="C69" s="70">
        <v>2595</v>
      </c>
      <c r="D69" s="70">
        <v>2636</v>
      </c>
      <c r="E69" s="70">
        <v>2698</v>
      </c>
      <c r="F69" s="70">
        <v>2649</v>
      </c>
      <c r="G69" s="38">
        <v>2649</v>
      </c>
      <c r="H69" s="70">
        <v>2669</v>
      </c>
      <c r="I69" s="70">
        <v>2694</v>
      </c>
      <c r="J69" s="70">
        <v>2721</v>
      </c>
      <c r="K69" s="70">
        <v>2766</v>
      </c>
      <c r="L69" s="91">
        <v>2766</v>
      </c>
      <c r="M69" s="70">
        <v>2789</v>
      </c>
      <c r="N69" s="70">
        <v>2807</v>
      </c>
      <c r="O69" s="70">
        <v>2825</v>
      </c>
      <c r="P69" s="70">
        <v>2857</v>
      </c>
      <c r="Q69" s="91">
        <v>2857</v>
      </c>
      <c r="R69" s="70">
        <v>2861</v>
      </c>
      <c r="S69" s="70">
        <v>2827</v>
      </c>
      <c r="T69" s="70">
        <v>2842</v>
      </c>
      <c r="U69" s="70">
        <v>2847</v>
      </c>
      <c r="V69" s="91">
        <v>2847</v>
      </c>
      <c r="W69" s="70">
        <v>2876</v>
      </c>
      <c r="X69" s="70">
        <v>2859</v>
      </c>
      <c r="Y69" s="70">
        <v>2839</v>
      </c>
      <c r="Z69" s="70">
        <v>2800</v>
      </c>
      <c r="AA69" s="91">
        <v>2800</v>
      </c>
      <c r="AB69" s="70">
        <v>2741</v>
      </c>
      <c r="AC69" s="70">
        <v>2702</v>
      </c>
      <c r="AD69" s="70">
        <v>2683</v>
      </c>
      <c r="AE69" s="70">
        <v>2642</v>
      </c>
      <c r="AF69" s="91">
        <v>2642</v>
      </c>
      <c r="AG69" s="70">
        <v>2631</v>
      </c>
      <c r="AH69" s="70">
        <v>2610</v>
      </c>
      <c r="AI69" s="70">
        <v>2600</v>
      </c>
      <c r="AJ69" s="70">
        <v>2586</v>
      </c>
      <c r="AK69" s="91">
        <v>2586</v>
      </c>
      <c r="AL69" s="70">
        <v>2565</v>
      </c>
      <c r="AM69" s="70">
        <v>2566</v>
      </c>
      <c r="AN69" s="70">
        <v>2569</v>
      </c>
      <c r="AO69" s="70">
        <v>2651</v>
      </c>
      <c r="AP69" s="91">
        <v>2651</v>
      </c>
      <c r="AQ69" s="70">
        <v>2692</v>
      </c>
      <c r="AR69" s="70">
        <v>2260</v>
      </c>
      <c r="AS69" s="70">
        <v>2348</v>
      </c>
      <c r="AT69" s="70">
        <v>2402</v>
      </c>
      <c r="AU69" s="91">
        <v>2402</v>
      </c>
      <c r="AV69" s="70">
        <v>2430</v>
      </c>
      <c r="AW69" s="70">
        <v>2410</v>
      </c>
      <c r="AX69" s="70">
        <v>2475</v>
      </c>
      <c r="AY69" s="70">
        <v>2525</v>
      </c>
      <c r="AZ69" s="91">
        <v>2525</v>
      </c>
      <c r="BA69" s="70">
        <v>2546</v>
      </c>
      <c r="BB69" s="3"/>
      <c r="BC69" s="3"/>
      <c r="BD69" s="3"/>
      <c r="BE69" s="3"/>
      <c r="BF69" s="3"/>
      <c r="BG69" s="3"/>
      <c r="BH69" s="3"/>
      <c r="BI69" s="36"/>
      <c r="BJ69" s="36"/>
      <c r="BK69" s="36"/>
      <c r="BL69" s="36"/>
      <c r="BM69" s="36"/>
      <c r="BN69" s="36"/>
      <c r="BO69" s="36"/>
      <c r="BP69" s="36"/>
      <c r="BQ69" s="36"/>
      <c r="BR69" s="36"/>
      <c r="BS69" s="36"/>
      <c r="BT69" s="36"/>
      <c r="BU69" s="36"/>
      <c r="BV69" s="36"/>
      <c r="BW69" s="36"/>
      <c r="BX69" s="36"/>
      <c r="BY69" s="36"/>
      <c r="BZ69" s="36"/>
      <c r="CA69" s="36"/>
      <c r="CB69" s="36"/>
      <c r="CC69" s="36"/>
      <c r="CD69" s="36"/>
      <c r="CE69" s="36"/>
      <c r="CF69" s="36"/>
      <c r="CG69" s="36"/>
      <c r="CH69" s="36"/>
      <c r="CI69" s="36"/>
      <c r="CJ69" s="36"/>
      <c r="CK69" s="36"/>
      <c r="CL69" s="36"/>
      <c r="CM69" s="36"/>
      <c r="CN69" s="36"/>
      <c r="CO69" s="36"/>
      <c r="CP69" s="36"/>
      <c r="CQ69" s="36"/>
      <c r="CR69" s="36"/>
      <c r="CS69" s="36"/>
      <c r="CT69" s="36"/>
      <c r="CU69" s="36"/>
      <c r="CV69" s="36"/>
      <c r="CW69" s="36"/>
      <c r="CX69" s="36"/>
      <c r="CY69" s="36"/>
      <c r="CZ69" s="36"/>
      <c r="DA69" s="36"/>
      <c r="DB69" s="36"/>
      <c r="DC69" s="36"/>
      <c r="DD69" s="36"/>
      <c r="DE69" s="36"/>
      <c r="DF69" s="36"/>
      <c r="DG69" s="36"/>
      <c r="DH69" s="36"/>
      <c r="DI69" s="36"/>
      <c r="DJ69" s="36"/>
      <c r="DK69" s="36"/>
      <c r="DL69" s="36"/>
      <c r="DM69" s="36"/>
      <c r="DN69" s="36"/>
      <c r="DO69" s="36"/>
      <c r="DP69" s="36"/>
      <c r="DQ69" s="36"/>
      <c r="DR69" s="36"/>
      <c r="DS69" s="36"/>
      <c r="DT69" s="36"/>
      <c r="DU69" s="36"/>
      <c r="DV69" s="36"/>
      <c r="DW69" s="36"/>
      <c r="DX69" s="36"/>
      <c r="DY69" s="36"/>
      <c r="DZ69" s="36"/>
      <c r="EA69" s="36"/>
      <c r="EB69" s="36"/>
      <c r="EC69" s="36"/>
      <c r="ED69" s="36"/>
      <c r="EE69" s="36"/>
      <c r="EF69" s="36"/>
      <c r="EG69" s="36"/>
      <c r="EH69" s="36"/>
      <c r="EI69" s="36"/>
      <c r="EJ69" s="36"/>
      <c r="EK69" s="36"/>
      <c r="EL69" s="36"/>
      <c r="EM69" s="36"/>
      <c r="EN69" s="36"/>
      <c r="EO69" s="36"/>
      <c r="EP69" s="36"/>
      <c r="EQ69" s="36"/>
      <c r="ER69" s="36"/>
      <c r="ES69" s="36"/>
      <c r="ET69" s="36"/>
      <c r="EU69" s="36"/>
      <c r="EV69" s="36"/>
      <c r="EW69" s="36"/>
      <c r="EX69" s="36"/>
      <c r="EY69" s="36"/>
      <c r="EZ69" s="36"/>
      <c r="FA69" s="36"/>
      <c r="FB69" s="36"/>
      <c r="FC69" s="36"/>
      <c r="FD69" s="36"/>
      <c r="FE69" s="36"/>
      <c r="FF69" s="36"/>
      <c r="FG69" s="36"/>
      <c r="FH69" s="36"/>
      <c r="FI69" s="36"/>
      <c r="FJ69" s="36"/>
      <c r="FK69" s="36"/>
      <c r="FL69" s="36"/>
      <c r="FM69" s="36"/>
      <c r="FN69" s="36"/>
      <c r="FO69" s="36"/>
      <c r="FP69" s="36"/>
      <c r="FQ69" s="36"/>
      <c r="FR69" s="36"/>
      <c r="FS69" s="36"/>
      <c r="FT69" s="36"/>
      <c r="FU69" s="36"/>
      <c r="FV69" s="36"/>
      <c r="FW69" s="36"/>
      <c r="FX69" s="36"/>
      <c r="FY69" s="36"/>
      <c r="FZ69" s="36"/>
      <c r="GA69" s="36"/>
      <c r="GB69" s="36"/>
      <c r="GC69" s="36"/>
      <c r="GD69" s="36"/>
      <c r="GE69" s="36"/>
      <c r="GF69" s="36"/>
      <c r="GG69" s="36"/>
      <c r="GH69" s="36"/>
      <c r="GI69" s="36"/>
      <c r="GJ69" s="36"/>
      <c r="GK69" s="36"/>
      <c r="GL69" s="36"/>
      <c r="GM69" s="36"/>
      <c r="GN69" s="36"/>
      <c r="GO69" s="36"/>
      <c r="GP69" s="36"/>
      <c r="GQ69" s="36"/>
      <c r="GR69" s="36"/>
      <c r="GS69" s="36"/>
      <c r="GT69" s="36"/>
    </row>
    <row r="70" spans="1:202">
      <c r="A70" s="71" t="s">
        <v>7</v>
      </c>
      <c r="B70" s="24"/>
      <c r="C70" s="72"/>
      <c r="D70" s="72">
        <f>D69/C69-1</f>
        <v>1.579961464354529E-2</v>
      </c>
      <c r="E70" s="72">
        <f>E69/D69-1</f>
        <v>2.3520485584218598E-2</v>
      </c>
      <c r="F70" s="72">
        <f>F69/E69-1</f>
        <v>-1.8161601186063803E-2</v>
      </c>
      <c r="G70" s="24"/>
      <c r="H70" s="72">
        <v>7.5500188750472486E-3</v>
      </c>
      <c r="I70" s="72">
        <v>9.3668040464593982E-3</v>
      </c>
      <c r="J70" s="72">
        <v>1.0022271714922093E-2</v>
      </c>
      <c r="K70" s="72">
        <v>1.6538037486218293E-2</v>
      </c>
      <c r="L70" s="27"/>
      <c r="M70" s="72">
        <v>8.315256688358641E-3</v>
      </c>
      <c r="N70" s="72">
        <v>6.4539261384009006E-3</v>
      </c>
      <c r="O70" s="72">
        <v>6.4125400783754394E-3</v>
      </c>
      <c r="P70" s="72">
        <v>1.1327433628318673E-2</v>
      </c>
      <c r="Q70" s="27"/>
      <c r="R70" s="72">
        <v>1.4000700035001756E-3</v>
      </c>
      <c r="S70" s="72">
        <v>-1.1883956658511052E-2</v>
      </c>
      <c r="T70" s="72">
        <v>5.3059780686239844E-3</v>
      </c>
      <c r="U70" s="72">
        <v>1.7593244194229474E-3</v>
      </c>
      <c r="V70" s="27"/>
      <c r="W70" s="72">
        <v>1.0186160871092476E-2</v>
      </c>
      <c r="X70" s="72">
        <v>-5.9109874826147601E-3</v>
      </c>
      <c r="Y70" s="72">
        <v>-6.9954529555789069E-3</v>
      </c>
      <c r="Z70" s="72">
        <v>-1.3737231419513884E-2</v>
      </c>
      <c r="AA70" s="27"/>
      <c r="AB70" s="72">
        <v>-2.1071428571428519E-2</v>
      </c>
      <c r="AC70" s="72">
        <v>-1.4228383801532241E-2</v>
      </c>
      <c r="AD70" s="72">
        <v>-7.0318282753515371E-3</v>
      </c>
      <c r="AE70" s="72">
        <v>-1.5281401416325058E-2</v>
      </c>
      <c r="AF70" s="27"/>
      <c r="AG70" s="72">
        <v>-4.1635124905374798E-3</v>
      </c>
      <c r="AH70" s="72">
        <v>-7.9817559863170073E-3</v>
      </c>
      <c r="AI70" s="72">
        <v>-3.8314176245211051E-3</v>
      </c>
      <c r="AJ70" s="72">
        <v>-5.3846153846154321E-3</v>
      </c>
      <c r="AK70" s="27"/>
      <c r="AL70" s="72">
        <v>-8.1206496519721227E-3</v>
      </c>
      <c r="AM70" s="72">
        <v>3.898635477583845E-4</v>
      </c>
      <c r="AN70" s="72">
        <v>1.1691348402182999E-3</v>
      </c>
      <c r="AO70" s="72">
        <v>3.191903464383028E-2</v>
      </c>
      <c r="AP70" s="27"/>
      <c r="AQ70" s="72">
        <v>1.546586193889099E-2</v>
      </c>
      <c r="AR70" s="72">
        <v>-0.16047548291233282</v>
      </c>
      <c r="AS70" s="72">
        <v>3.8938053097345104E-2</v>
      </c>
      <c r="AT70" s="72">
        <v>2.2998296422487297E-2</v>
      </c>
      <c r="AU70" s="27"/>
      <c r="AV70" s="72">
        <v>1.1656952539550458E-2</v>
      </c>
      <c r="AW70" s="72">
        <v>-8.2304526748970819E-3</v>
      </c>
      <c r="AX70" s="72">
        <v>2.6970954356846377E-2</v>
      </c>
      <c r="AY70" s="72">
        <v>2.020202020202011E-2</v>
      </c>
      <c r="AZ70" s="27"/>
      <c r="BA70" s="72">
        <v>8.3168316831683242E-3</v>
      </c>
    </row>
    <row r="71" spans="1:202">
      <c r="A71" s="71" t="s">
        <v>8</v>
      </c>
      <c r="B71" s="24"/>
      <c r="C71" s="73"/>
      <c r="D71" s="73"/>
      <c r="E71" s="73"/>
      <c r="F71" s="73"/>
      <c r="G71" s="24">
        <v>1.0297482837528626E-2</v>
      </c>
      <c r="H71" s="73">
        <v>2.8516377649325575E-2</v>
      </c>
      <c r="I71" s="73">
        <v>2.2003034901365792E-2</v>
      </c>
      <c r="J71" s="73">
        <v>8.5248332097849211E-3</v>
      </c>
      <c r="K71" s="72">
        <v>4.416761041902606E-2</v>
      </c>
      <c r="L71" s="24">
        <v>4.416761041902606E-2</v>
      </c>
      <c r="M71" s="73">
        <v>4.4960659423004978E-2</v>
      </c>
      <c r="N71" s="73">
        <v>4.1945063103192348E-2</v>
      </c>
      <c r="O71" s="73">
        <v>3.8221242190371152E-2</v>
      </c>
      <c r="P71" s="72">
        <v>3.2899493853940642E-2</v>
      </c>
      <c r="Q71" s="24">
        <v>3.2899493853940642E-2</v>
      </c>
      <c r="R71" s="73">
        <v>2.581570455360338E-2</v>
      </c>
      <c r="S71" s="73">
        <v>7.1250445315282906E-3</v>
      </c>
      <c r="T71" s="73">
        <v>6.0176991150442394E-3</v>
      </c>
      <c r="U71" s="72">
        <v>-3.5001750087504391E-3</v>
      </c>
      <c r="V71" s="24">
        <v>-3.5001750087504391E-3</v>
      </c>
      <c r="W71" s="73">
        <v>5.2429220552254741E-3</v>
      </c>
      <c r="X71" s="73">
        <v>1.1319419879731063E-2</v>
      </c>
      <c r="Y71" s="73">
        <v>-1.055594651653724E-3</v>
      </c>
      <c r="Z71" s="72">
        <v>-1.6508605549701461E-2</v>
      </c>
      <c r="AA71" s="24">
        <v>-1.6508605549701461E-2</v>
      </c>
      <c r="AB71" s="73">
        <v>-4.6940194714881756E-2</v>
      </c>
      <c r="AC71" s="73">
        <v>-5.4914305701294186E-2</v>
      </c>
      <c r="AD71" s="73">
        <v>-5.4948925678055649E-2</v>
      </c>
      <c r="AE71" s="72">
        <v>-5.6428571428571384E-2</v>
      </c>
      <c r="AF71" s="24">
        <v>-5.6428571428571384E-2</v>
      </c>
      <c r="AG71" s="73">
        <v>-4.013133892739873E-2</v>
      </c>
      <c r="AH71" s="73">
        <v>-3.4048852701702437E-2</v>
      </c>
      <c r="AI71" s="73">
        <v>-3.0935519940365253E-2</v>
      </c>
      <c r="AJ71" s="72">
        <v>-2.1196063588190817E-2</v>
      </c>
      <c r="AK71" s="24">
        <v>-2.1196063588190817E-2</v>
      </c>
      <c r="AL71" s="73">
        <v>-2.5085518814139118E-2</v>
      </c>
      <c r="AM71" s="73">
        <v>-1.6858237547892729E-2</v>
      </c>
      <c r="AN71" s="73">
        <v>-1.1923076923076925E-2</v>
      </c>
      <c r="AO71" s="72">
        <v>2.5135344160866158E-2</v>
      </c>
      <c r="AP71" s="24">
        <v>2.5135344160866158E-2</v>
      </c>
      <c r="AQ71" s="73">
        <v>4.9512670565302175E-2</v>
      </c>
      <c r="AR71" s="73">
        <v>-0.11925175370226038</v>
      </c>
      <c r="AS71" s="73">
        <v>-8.6025690930323084E-2</v>
      </c>
      <c r="AT71" s="72">
        <v>-9.3926820067898875E-2</v>
      </c>
      <c r="AU71" s="24">
        <v>-9.3926820067898875E-2</v>
      </c>
      <c r="AV71" s="73">
        <v>-9.7325408618127773E-2</v>
      </c>
      <c r="AW71" s="73">
        <v>6.6371681415929196E-2</v>
      </c>
      <c r="AX71" s="73">
        <v>5.4088586030664354E-2</v>
      </c>
      <c r="AY71" s="72">
        <v>5.1207327227310584E-2</v>
      </c>
      <c r="AZ71" s="24">
        <v>5.1207327227310584E-2</v>
      </c>
      <c r="BA71" s="73">
        <v>4.7736625514403386E-2</v>
      </c>
    </row>
    <row r="72" spans="1:202">
      <c r="A72" s="71" t="s">
        <v>223</v>
      </c>
      <c r="B72" s="24"/>
      <c r="C72" s="73"/>
      <c r="D72" s="73"/>
      <c r="E72" s="73"/>
      <c r="F72" s="73"/>
      <c r="G72" s="24"/>
      <c r="H72" s="73"/>
      <c r="I72" s="73"/>
      <c r="J72" s="73"/>
      <c r="K72" s="72"/>
      <c r="L72" s="24"/>
      <c r="M72" s="73"/>
      <c r="N72" s="73"/>
      <c r="O72" s="73"/>
      <c r="P72" s="72"/>
      <c r="Q72" s="24"/>
      <c r="R72" s="73"/>
      <c r="S72" s="73"/>
      <c r="T72" s="73"/>
      <c r="U72" s="72"/>
      <c r="V72" s="24"/>
      <c r="W72" s="73"/>
      <c r="X72" s="73"/>
      <c r="Y72" s="73"/>
      <c r="Z72" s="72"/>
      <c r="AA72" s="24"/>
      <c r="AB72" s="73"/>
      <c r="AC72" s="73"/>
      <c r="AD72" s="73"/>
      <c r="AE72" s="72"/>
      <c r="AF72" s="24"/>
      <c r="AG72" s="73"/>
      <c r="AH72" s="73"/>
      <c r="AI72" s="73"/>
      <c r="AJ72" s="72"/>
      <c r="AK72" s="24"/>
      <c r="AL72" s="73"/>
      <c r="AM72" s="197">
        <v>1</v>
      </c>
      <c r="AN72" s="197">
        <v>3</v>
      </c>
      <c r="AO72" s="197">
        <v>82</v>
      </c>
      <c r="AP72" s="198"/>
      <c r="AQ72" s="199">
        <v>41</v>
      </c>
      <c r="AR72" s="199">
        <v>-432</v>
      </c>
      <c r="AS72" s="199">
        <v>88</v>
      </c>
      <c r="AT72" s="199">
        <v>54</v>
      </c>
      <c r="AU72" s="200">
        <v>-249</v>
      </c>
      <c r="AV72" s="199">
        <v>28</v>
      </c>
      <c r="AW72" s="199">
        <v>-20</v>
      </c>
      <c r="AX72" s="199">
        <v>65</v>
      </c>
      <c r="AY72" s="199">
        <v>50</v>
      </c>
      <c r="AZ72" s="200">
        <v>123</v>
      </c>
      <c r="BA72" s="199">
        <v>21</v>
      </c>
    </row>
    <row r="73" spans="1:202">
      <c r="A73" s="71"/>
      <c r="B73" s="24"/>
      <c r="C73" s="73"/>
      <c r="D73" s="73"/>
      <c r="E73" s="73"/>
      <c r="F73" s="73"/>
      <c r="G73" s="24"/>
      <c r="H73" s="73"/>
      <c r="I73" s="73"/>
      <c r="J73" s="73"/>
      <c r="K73" s="72"/>
      <c r="L73" s="24"/>
      <c r="M73" s="73"/>
      <c r="N73" s="73"/>
      <c r="O73" s="73"/>
      <c r="P73" s="72"/>
      <c r="Q73" s="24"/>
      <c r="R73" s="73"/>
      <c r="S73" s="73"/>
      <c r="T73" s="73"/>
      <c r="U73" s="72"/>
      <c r="V73" s="24"/>
      <c r="W73" s="73"/>
      <c r="X73" s="73"/>
      <c r="Y73" s="73"/>
      <c r="Z73" s="72"/>
      <c r="AA73" s="24"/>
      <c r="AB73" s="73"/>
      <c r="AC73" s="73"/>
      <c r="AD73" s="73"/>
      <c r="AE73" s="72"/>
      <c r="AF73" s="24"/>
      <c r="AG73" s="73"/>
      <c r="AH73" s="73"/>
      <c r="AI73" s="73"/>
      <c r="AJ73" s="72"/>
      <c r="AK73" s="24"/>
      <c r="AL73" s="73"/>
      <c r="AM73" s="73"/>
      <c r="AN73" s="73"/>
      <c r="AO73" s="72"/>
      <c r="AP73" s="24"/>
      <c r="AQ73" s="73"/>
      <c r="AR73" s="73"/>
      <c r="AS73" s="73"/>
      <c r="AT73" s="72"/>
      <c r="AU73" s="24"/>
      <c r="AV73" s="73"/>
      <c r="AW73" s="73"/>
      <c r="AX73" s="73"/>
      <c r="AY73" s="72"/>
      <c r="AZ73" s="24"/>
      <c r="BA73" s="73"/>
    </row>
    <row r="74" spans="1:202">
      <c r="A74" s="69" t="s">
        <v>155</v>
      </c>
      <c r="B74" s="102" t="s">
        <v>45</v>
      </c>
      <c r="C74" s="72"/>
      <c r="D74" s="72"/>
      <c r="E74" s="72"/>
      <c r="F74" s="72"/>
      <c r="G74" s="102" t="s">
        <v>45</v>
      </c>
      <c r="H74" s="102" t="s">
        <v>45</v>
      </c>
      <c r="I74" s="102" t="s">
        <v>45</v>
      </c>
      <c r="J74" s="102" t="s">
        <v>45</v>
      </c>
      <c r="K74" s="102" t="s">
        <v>45</v>
      </c>
      <c r="L74" s="102" t="s">
        <v>45</v>
      </c>
      <c r="M74" s="102" t="s">
        <v>45</v>
      </c>
      <c r="N74" s="102" t="s">
        <v>45</v>
      </c>
      <c r="O74" s="102" t="s">
        <v>45</v>
      </c>
      <c r="P74" s="102" t="s">
        <v>45</v>
      </c>
      <c r="Q74" s="102" t="s">
        <v>45</v>
      </c>
      <c r="R74" s="102" t="s">
        <v>45</v>
      </c>
      <c r="S74" s="102" t="s">
        <v>45</v>
      </c>
      <c r="T74" s="102" t="s">
        <v>45</v>
      </c>
      <c r="U74" s="102" t="s">
        <v>45</v>
      </c>
      <c r="V74" s="102" t="s">
        <v>45</v>
      </c>
      <c r="W74" s="72"/>
      <c r="X74" s="72"/>
      <c r="Y74" s="72"/>
      <c r="Z74" s="72"/>
      <c r="AA74" s="102" t="s">
        <v>45</v>
      </c>
      <c r="AB74" s="80" t="s">
        <v>53</v>
      </c>
      <c r="AC74" s="80" t="s">
        <v>53</v>
      </c>
      <c r="AD74" s="80" t="s">
        <v>53</v>
      </c>
      <c r="AE74" s="80" t="s">
        <v>53</v>
      </c>
      <c r="AF74" s="102" t="s">
        <v>45</v>
      </c>
      <c r="AG74" s="80" t="s">
        <v>53</v>
      </c>
      <c r="AH74" s="80" t="s">
        <v>53</v>
      </c>
      <c r="AI74" s="80" t="s">
        <v>53</v>
      </c>
      <c r="AJ74" s="70">
        <v>836</v>
      </c>
      <c r="AK74" s="91">
        <v>836</v>
      </c>
      <c r="AL74" s="80" t="s">
        <v>53</v>
      </c>
      <c r="AM74" s="80" t="s">
        <v>53</v>
      </c>
      <c r="AN74" s="80" t="s">
        <v>53</v>
      </c>
      <c r="AO74" s="70">
        <v>925</v>
      </c>
      <c r="AP74" s="91">
        <v>925</v>
      </c>
      <c r="AQ74" s="80" t="s">
        <v>53</v>
      </c>
      <c r="AR74" s="80" t="s">
        <v>53</v>
      </c>
      <c r="AS74" s="80" t="s">
        <v>53</v>
      </c>
      <c r="AT74" s="70">
        <v>733</v>
      </c>
      <c r="AU74" s="91">
        <v>733</v>
      </c>
      <c r="AV74" s="80" t="s">
        <v>53</v>
      </c>
      <c r="AW74" s="80" t="s">
        <v>53</v>
      </c>
      <c r="AX74" s="80" t="s">
        <v>53</v>
      </c>
      <c r="AY74" s="70">
        <v>770</v>
      </c>
      <c r="AZ74" s="91">
        <v>770</v>
      </c>
      <c r="BA74" s="80" t="s">
        <v>53</v>
      </c>
    </row>
    <row r="75" spans="1:202" hidden="1">
      <c r="A75" s="71" t="s">
        <v>7</v>
      </c>
      <c r="B75" s="38">
        <v>354</v>
      </c>
      <c r="C75" s="69">
        <v>355</v>
      </c>
      <c r="D75" s="69">
        <v>358</v>
      </c>
      <c r="E75" s="69">
        <v>359</v>
      </c>
      <c r="F75" s="69">
        <v>335</v>
      </c>
      <c r="G75" s="38">
        <v>352</v>
      </c>
      <c r="H75" s="69">
        <v>323</v>
      </c>
      <c r="I75" s="69">
        <v>329</v>
      </c>
      <c r="J75" s="69">
        <v>339</v>
      </c>
      <c r="K75" s="70">
        <v>339</v>
      </c>
      <c r="L75" s="28">
        <v>333</v>
      </c>
      <c r="M75" s="69">
        <v>336</v>
      </c>
      <c r="N75" s="69">
        <v>348</v>
      </c>
      <c r="O75" s="69">
        <v>347</v>
      </c>
      <c r="P75" s="70">
        <v>364</v>
      </c>
      <c r="Q75" s="28">
        <v>349</v>
      </c>
      <c r="R75" s="69">
        <v>359</v>
      </c>
      <c r="S75" s="69">
        <v>370</v>
      </c>
      <c r="T75" s="69">
        <v>385</v>
      </c>
      <c r="U75" s="70">
        <v>384</v>
      </c>
      <c r="V75" s="28">
        <v>375</v>
      </c>
      <c r="W75" s="69">
        <v>399</v>
      </c>
      <c r="X75" s="69">
        <v>409</v>
      </c>
      <c r="Y75" s="69">
        <v>425</v>
      </c>
      <c r="Z75" s="70">
        <v>442</v>
      </c>
      <c r="AA75" s="28">
        <v>419</v>
      </c>
      <c r="AB75" s="69">
        <v>440</v>
      </c>
      <c r="AC75" s="69">
        <v>467</v>
      </c>
      <c r="AD75" s="69">
        <v>459</v>
      </c>
      <c r="AE75" s="70">
        <v>484</v>
      </c>
      <c r="AF75" s="28">
        <v>462</v>
      </c>
      <c r="AG75" s="69"/>
      <c r="AH75" s="69">
        <v>467</v>
      </c>
      <c r="AI75" s="69">
        <v>467</v>
      </c>
      <c r="AJ75" s="70">
        <v>484</v>
      </c>
      <c r="AK75" s="28">
        <v>462</v>
      </c>
      <c r="AL75" s="69"/>
      <c r="AM75" s="69">
        <v>467</v>
      </c>
      <c r="AN75" s="69">
        <v>467</v>
      </c>
      <c r="AO75" s="70">
        <v>484</v>
      </c>
      <c r="AP75" s="28">
        <v>462</v>
      </c>
      <c r="AQ75" s="69"/>
      <c r="AR75" s="69">
        <v>467</v>
      </c>
      <c r="AS75" s="69">
        <v>467</v>
      </c>
      <c r="AT75" s="70">
        <v>484</v>
      </c>
      <c r="AU75" s="28">
        <v>462</v>
      </c>
      <c r="AV75" s="69"/>
      <c r="AW75" s="69"/>
      <c r="AX75" s="69"/>
      <c r="AY75" s="70">
        <v>484</v>
      </c>
      <c r="AZ75" s="28">
        <v>462</v>
      </c>
      <c r="BA75" s="69"/>
    </row>
    <row r="76" spans="1:202" hidden="1">
      <c r="A76" s="71" t="s">
        <v>8</v>
      </c>
      <c r="B76" s="24"/>
      <c r="C76" s="72"/>
      <c r="D76" s="72">
        <f>D75/C75-1</f>
        <v>8.4507042253521014E-3</v>
      </c>
      <c r="E76" s="72">
        <f>E75/D75-1</f>
        <v>2.7932960893854997E-3</v>
      </c>
      <c r="F76" s="72">
        <f>F75/E75-1</f>
        <v>-6.6852367688022274E-2</v>
      </c>
      <c r="G76" s="24"/>
      <c r="H76" s="72">
        <v>-3.5820895522388096E-2</v>
      </c>
      <c r="I76" s="72">
        <v>1.8575851393188847E-2</v>
      </c>
      <c r="J76" s="72">
        <v>3.039513677811545E-2</v>
      </c>
      <c r="K76" s="72">
        <v>0</v>
      </c>
      <c r="L76" s="27"/>
      <c r="M76" s="72">
        <v>-8.8495575221239076E-3</v>
      </c>
      <c r="N76" s="72">
        <v>3.5714285714285809E-2</v>
      </c>
      <c r="O76" s="72">
        <v>-2.8735632183908288E-3</v>
      </c>
      <c r="P76" s="72">
        <v>4.8991354466858761E-2</v>
      </c>
      <c r="Q76" s="27"/>
      <c r="R76" s="72">
        <v>-1.3736263736263687E-2</v>
      </c>
      <c r="S76" s="72">
        <v>3.0640668523676862E-2</v>
      </c>
      <c r="T76" s="72">
        <v>4.0540540540540571E-2</v>
      </c>
      <c r="U76" s="72">
        <v>-2.5974025974025983E-3</v>
      </c>
      <c r="V76" s="27"/>
      <c r="W76" s="72">
        <v>3.90625E-2</v>
      </c>
      <c r="X76" s="72">
        <v>2.506265664160412E-2</v>
      </c>
      <c r="Y76" s="72">
        <v>3.9119804400977953E-2</v>
      </c>
      <c r="Z76" s="72">
        <v>4.0000000000000036E-2</v>
      </c>
      <c r="AA76" s="27"/>
      <c r="AB76" s="72">
        <v>-4.5248868778280382E-3</v>
      </c>
      <c r="AC76" s="72">
        <v>6.1363636363636287E-2</v>
      </c>
      <c r="AD76" s="72">
        <v>-1.7130620985010725E-2</v>
      </c>
      <c r="AE76" s="72">
        <v>5.4466230936819127E-2</v>
      </c>
      <c r="AF76" s="27"/>
      <c r="AG76" s="72">
        <v>-1</v>
      </c>
      <c r="AH76" s="72" t="e">
        <v>#DIV/0!</v>
      </c>
      <c r="AI76" s="72">
        <v>0</v>
      </c>
      <c r="AJ76" s="72">
        <v>3.6402569593147804E-2</v>
      </c>
      <c r="AK76" s="27"/>
      <c r="AL76" s="72">
        <v>-1</v>
      </c>
      <c r="AM76" s="72" t="e">
        <v>#DIV/0!</v>
      </c>
      <c r="AN76" s="72">
        <v>0</v>
      </c>
      <c r="AO76" s="72">
        <v>3.6402569593147804E-2</v>
      </c>
      <c r="AP76" s="27"/>
      <c r="AQ76" s="72">
        <v>-1</v>
      </c>
      <c r="AR76" s="72" t="e">
        <v>#DIV/0!</v>
      </c>
      <c r="AS76" s="72">
        <v>0</v>
      </c>
      <c r="AT76" s="72">
        <v>3.6402569593147804E-2</v>
      </c>
      <c r="AU76" s="27"/>
      <c r="AV76" s="72">
        <v>-1</v>
      </c>
      <c r="AW76" s="72">
        <v>-1</v>
      </c>
      <c r="AX76" s="72" t="e">
        <v>#DIV/0!</v>
      </c>
      <c r="AY76" s="72" t="e">
        <v>#DIV/0!</v>
      </c>
      <c r="AZ76" s="27"/>
      <c r="BA76" s="72">
        <v>-1</v>
      </c>
    </row>
    <row r="77" spans="1:202" hidden="1">
      <c r="A77" s="71" t="s">
        <v>8</v>
      </c>
      <c r="B77" s="24"/>
      <c r="C77" s="73"/>
      <c r="D77" s="73"/>
      <c r="E77" s="73"/>
      <c r="F77" s="73"/>
      <c r="G77" s="24">
        <v>-5.6497175141242417E-3</v>
      </c>
      <c r="H77" s="73">
        <v>-9.0140845070422526E-2</v>
      </c>
      <c r="I77" s="73">
        <v>-8.1005586592178824E-2</v>
      </c>
      <c r="J77" s="73">
        <v>-5.5710306406685284E-2</v>
      </c>
      <c r="K77" s="72">
        <v>1.1940298507462588E-2</v>
      </c>
      <c r="L77" s="24">
        <v>-5.3977272727272707E-2</v>
      </c>
      <c r="M77" s="73">
        <v>4.0247678018575872E-2</v>
      </c>
      <c r="N77" s="73">
        <v>5.7750759878419489E-2</v>
      </c>
      <c r="O77" s="73">
        <v>2.3598820058997161E-2</v>
      </c>
      <c r="P77" s="72">
        <v>7.3746312684365822E-2</v>
      </c>
      <c r="Q77" s="24">
        <v>4.8048048048048075E-2</v>
      </c>
      <c r="R77" s="73">
        <v>6.8452380952380931E-2</v>
      </c>
      <c r="S77" s="73">
        <v>6.321839080459779E-2</v>
      </c>
      <c r="T77" s="73">
        <v>0.10951008645533133</v>
      </c>
      <c r="U77" s="72">
        <v>5.4945054945054972E-2</v>
      </c>
      <c r="V77" s="24">
        <v>7.4498567335243626E-2</v>
      </c>
      <c r="W77" s="73">
        <v>0.11142061281337057</v>
      </c>
      <c r="X77" s="73">
        <v>0.10540540540540544</v>
      </c>
      <c r="Y77" s="73">
        <v>0.10389610389610393</v>
      </c>
      <c r="Z77" s="72">
        <v>0.15104166666666674</v>
      </c>
      <c r="AA77" s="24">
        <v>0.11733333333333329</v>
      </c>
      <c r="AB77" s="73">
        <v>0.10275689223057638</v>
      </c>
      <c r="AC77" s="73">
        <v>0.14180929095354533</v>
      </c>
      <c r="AD77" s="73">
        <v>8.0000000000000071E-2</v>
      </c>
      <c r="AE77" s="72">
        <v>9.5022624434389247E-2</v>
      </c>
      <c r="AF77" s="24">
        <v>0.10262529832935563</v>
      </c>
      <c r="AG77" s="73">
        <v>-1</v>
      </c>
      <c r="AH77" s="73">
        <v>0</v>
      </c>
      <c r="AI77" s="73">
        <v>1.7429193899782147E-2</v>
      </c>
      <c r="AJ77" s="72">
        <v>0</v>
      </c>
      <c r="AK77" s="24">
        <v>0</v>
      </c>
      <c r="AL77" s="73" t="e">
        <v>#DIV/0!</v>
      </c>
      <c r="AM77" s="73">
        <v>0</v>
      </c>
      <c r="AN77" s="73">
        <v>0</v>
      </c>
      <c r="AO77" s="72">
        <v>0</v>
      </c>
      <c r="AP77" s="24">
        <v>0</v>
      </c>
      <c r="AQ77" s="73" t="e">
        <v>#DIV/0!</v>
      </c>
      <c r="AR77" s="73">
        <v>0</v>
      </c>
      <c r="AS77" s="73">
        <v>0</v>
      </c>
      <c r="AT77" s="72">
        <v>0</v>
      </c>
      <c r="AU77" s="24">
        <v>0</v>
      </c>
      <c r="AV77" s="73" t="e">
        <v>#DIV/0!</v>
      </c>
      <c r="AW77" s="73">
        <v>-1</v>
      </c>
      <c r="AX77" s="73">
        <v>-1</v>
      </c>
      <c r="AY77" s="72">
        <v>0</v>
      </c>
      <c r="AZ77" s="24">
        <v>0</v>
      </c>
      <c r="BA77" s="73" t="e">
        <v>#DIV/0!</v>
      </c>
    </row>
    <row r="78" spans="1:202" hidden="1">
      <c r="A78" s="71"/>
      <c r="B78" s="24"/>
      <c r="C78" s="73"/>
      <c r="D78" s="73"/>
      <c r="E78" s="73"/>
      <c r="F78" s="73"/>
      <c r="G78" s="24"/>
      <c r="H78" s="73"/>
      <c r="I78" s="73"/>
      <c r="J78" s="73"/>
      <c r="K78" s="72"/>
      <c r="L78" s="24"/>
      <c r="M78" s="73"/>
      <c r="N78" s="73"/>
      <c r="O78" s="73"/>
      <c r="P78" s="72"/>
      <c r="Q78" s="28"/>
      <c r="R78" s="73"/>
      <c r="S78" s="73"/>
      <c r="T78" s="73"/>
      <c r="U78" s="72"/>
      <c r="V78" s="24"/>
      <c r="W78" s="73"/>
      <c r="X78" s="73"/>
      <c r="Y78" s="73"/>
      <c r="Z78" s="72"/>
      <c r="AA78" s="24"/>
      <c r="AB78" s="73"/>
      <c r="AC78" s="73"/>
      <c r="AD78" s="73"/>
      <c r="AE78" s="72"/>
      <c r="AF78" s="24"/>
      <c r="AG78" s="73"/>
      <c r="AH78" s="73"/>
      <c r="AI78" s="73"/>
      <c r="AJ78" s="72"/>
      <c r="AK78" s="24"/>
      <c r="AL78" s="73"/>
      <c r="AM78" s="73"/>
      <c r="AN78" s="73"/>
      <c r="AO78" s="72"/>
      <c r="AP78" s="24"/>
      <c r="AQ78" s="73"/>
      <c r="AR78" s="73"/>
      <c r="AS78" s="73"/>
      <c r="AT78" s="72"/>
      <c r="AU78" s="24"/>
      <c r="AV78" s="73"/>
      <c r="AW78" s="73"/>
      <c r="AX78" s="73"/>
      <c r="AY78" s="72"/>
      <c r="AZ78" s="24"/>
      <c r="BA78" s="73"/>
    </row>
    <row r="79" spans="1:202">
      <c r="A79" s="71" t="s">
        <v>8</v>
      </c>
      <c r="B79" s="24"/>
      <c r="C79" s="73"/>
      <c r="D79" s="73"/>
      <c r="E79" s="73"/>
      <c r="F79" s="73"/>
      <c r="G79" s="24"/>
      <c r="H79" s="73"/>
      <c r="I79" s="73"/>
      <c r="J79" s="73"/>
      <c r="K79" s="72"/>
      <c r="L79" s="24"/>
      <c r="M79" s="73"/>
      <c r="N79" s="73"/>
      <c r="O79" s="73"/>
      <c r="P79" s="72"/>
      <c r="Q79" s="28"/>
      <c r="R79" s="73"/>
      <c r="S79" s="73"/>
      <c r="T79" s="73"/>
      <c r="U79" s="72"/>
      <c r="V79" s="24"/>
      <c r="W79" s="73"/>
      <c r="X79" s="73"/>
      <c r="Y79" s="73"/>
      <c r="Z79" s="72"/>
      <c r="AA79" s="24"/>
      <c r="AB79" s="73"/>
      <c r="AC79" s="73"/>
      <c r="AD79" s="73"/>
      <c r="AE79" s="72"/>
      <c r="AF79" s="24"/>
      <c r="AG79" s="73"/>
      <c r="AH79" s="73"/>
      <c r="AI79" s="73"/>
      <c r="AJ79" s="72"/>
      <c r="AK79" s="24"/>
      <c r="AL79" s="73"/>
      <c r="AM79" s="73"/>
      <c r="AN79" s="73"/>
      <c r="AO79" s="72"/>
      <c r="AP79" s="24">
        <v>0.10645933014354059</v>
      </c>
      <c r="AQ79" s="73"/>
      <c r="AR79" s="73"/>
      <c r="AS79" s="73"/>
      <c r="AT79" s="72"/>
      <c r="AU79" s="24">
        <v>-0.20756756756756756</v>
      </c>
      <c r="AV79" s="73"/>
      <c r="AW79" s="73"/>
      <c r="AX79" s="73"/>
      <c r="AY79" s="72"/>
      <c r="AZ79" s="24">
        <v>5.0477489768076422E-2</v>
      </c>
      <c r="BA79" s="73"/>
    </row>
    <row r="80" spans="1:202">
      <c r="A80" s="69" t="s">
        <v>79</v>
      </c>
      <c r="B80" s="102" t="s">
        <v>53</v>
      </c>
      <c r="C80" s="80" t="s">
        <v>53</v>
      </c>
      <c r="D80" s="80" t="s">
        <v>53</v>
      </c>
      <c r="E80" s="80" t="s">
        <v>53</v>
      </c>
      <c r="F80" s="80" t="s">
        <v>53</v>
      </c>
      <c r="G80" s="102" t="s">
        <v>53</v>
      </c>
      <c r="H80" s="80" t="s">
        <v>53</v>
      </c>
      <c r="I80" s="80" t="s">
        <v>53</v>
      </c>
      <c r="J80" s="80" t="s">
        <v>53</v>
      </c>
      <c r="K80" s="80" t="s">
        <v>53</v>
      </c>
      <c r="L80" s="102" t="s">
        <v>53</v>
      </c>
      <c r="M80" s="69">
        <v>110</v>
      </c>
      <c r="N80" s="69">
        <v>111</v>
      </c>
      <c r="O80" s="69">
        <v>113</v>
      </c>
      <c r="P80" s="70">
        <v>109</v>
      </c>
      <c r="Q80" s="28">
        <v>111</v>
      </c>
      <c r="R80" s="69">
        <v>110</v>
      </c>
      <c r="S80" s="69">
        <v>109</v>
      </c>
      <c r="T80" s="69">
        <v>107</v>
      </c>
      <c r="U80" s="70">
        <v>100</v>
      </c>
      <c r="V80" s="28">
        <v>107</v>
      </c>
      <c r="W80" s="69">
        <v>97</v>
      </c>
      <c r="X80" s="69">
        <v>99</v>
      </c>
      <c r="Y80" s="69">
        <v>95</v>
      </c>
      <c r="Z80" s="70">
        <v>89</v>
      </c>
      <c r="AA80" s="28">
        <v>95</v>
      </c>
      <c r="AB80" s="69">
        <v>86</v>
      </c>
      <c r="AC80" s="69">
        <v>85</v>
      </c>
      <c r="AD80" s="69">
        <v>88</v>
      </c>
      <c r="AE80" s="70">
        <v>86</v>
      </c>
      <c r="AF80" s="28">
        <v>86</v>
      </c>
      <c r="AG80" s="69">
        <v>80</v>
      </c>
      <c r="AH80" s="69">
        <v>79</v>
      </c>
      <c r="AI80" s="69">
        <v>78</v>
      </c>
      <c r="AJ80" s="70">
        <v>75</v>
      </c>
      <c r="AK80" s="28">
        <v>78</v>
      </c>
      <c r="AL80" s="69">
        <v>65</v>
      </c>
      <c r="AM80" s="69">
        <v>65</v>
      </c>
      <c r="AN80" s="69">
        <v>68</v>
      </c>
      <c r="AO80" s="70">
        <v>60</v>
      </c>
      <c r="AP80" s="28">
        <v>64</v>
      </c>
      <c r="AQ80" s="69">
        <v>57</v>
      </c>
      <c r="AR80" s="69">
        <v>68</v>
      </c>
      <c r="AS80" s="69">
        <v>68</v>
      </c>
      <c r="AT80" s="70">
        <v>62</v>
      </c>
      <c r="AU80" s="28">
        <v>63</v>
      </c>
      <c r="AV80" s="69">
        <v>60</v>
      </c>
      <c r="AW80" s="69">
        <v>61</v>
      </c>
      <c r="AX80" s="69">
        <v>63</v>
      </c>
      <c r="AY80" s="70">
        <v>58</v>
      </c>
      <c r="AZ80" s="28">
        <v>61</v>
      </c>
      <c r="BA80" s="69">
        <v>57</v>
      </c>
    </row>
    <row r="81" spans="1:202">
      <c r="A81" s="71" t="s">
        <v>7</v>
      </c>
      <c r="B81" s="24"/>
      <c r="C81" s="72"/>
      <c r="D81" s="72"/>
      <c r="E81" s="72"/>
      <c r="F81" s="72"/>
      <c r="G81" s="24"/>
      <c r="H81" s="72"/>
      <c r="I81" s="72"/>
      <c r="J81" s="72"/>
      <c r="K81" s="72"/>
      <c r="L81" s="27"/>
      <c r="M81" s="72"/>
      <c r="N81" s="72">
        <v>9.0909090909090384E-3</v>
      </c>
      <c r="O81" s="72">
        <v>1.8018018018018056E-2</v>
      </c>
      <c r="P81" s="72">
        <v>-3.539823008849563E-2</v>
      </c>
      <c r="Q81" s="27"/>
      <c r="R81" s="72">
        <v>9.1743119266054496E-3</v>
      </c>
      <c r="S81" s="72">
        <v>-9.0909090909090384E-3</v>
      </c>
      <c r="T81" s="72">
        <v>-1.834862385321101E-2</v>
      </c>
      <c r="U81" s="72">
        <v>-6.5420560747663559E-2</v>
      </c>
      <c r="V81" s="27"/>
      <c r="W81" s="72">
        <v>-3.0000000000000027E-2</v>
      </c>
      <c r="X81" s="72">
        <v>2.0618556701030855E-2</v>
      </c>
      <c r="Y81" s="72">
        <v>-4.0404040404040442E-2</v>
      </c>
      <c r="Z81" s="72">
        <v>-6.315789473684208E-2</v>
      </c>
      <c r="AA81" s="27"/>
      <c r="AB81" s="72">
        <v>-3.3707865168539297E-2</v>
      </c>
      <c r="AC81" s="72">
        <v>-1.1627906976744207E-2</v>
      </c>
      <c r="AD81" s="72">
        <v>3.529411764705892E-2</v>
      </c>
      <c r="AE81" s="72">
        <v>-2.2727272727272707E-2</v>
      </c>
      <c r="AF81" s="27"/>
      <c r="AG81" s="72">
        <v>-6.9767441860465129E-2</v>
      </c>
      <c r="AH81" s="72">
        <v>-1.2499999999999956E-2</v>
      </c>
      <c r="AI81" s="72">
        <v>-1.2658227848101222E-2</v>
      </c>
      <c r="AJ81" s="72">
        <v>-3.8461538461538436E-2</v>
      </c>
      <c r="AK81" s="27"/>
      <c r="AL81" s="72">
        <v>-0.1333333333333333</v>
      </c>
      <c r="AM81" s="72">
        <v>0</v>
      </c>
      <c r="AN81" s="72">
        <v>4.6153846153846212E-2</v>
      </c>
      <c r="AO81" s="72">
        <v>-0.11764705882352944</v>
      </c>
      <c r="AP81" s="27"/>
      <c r="AQ81" s="72">
        <v>-5.0000000000000044E-2</v>
      </c>
      <c r="AR81" s="72">
        <v>0.19298245614035081</v>
      </c>
      <c r="AS81" s="72">
        <v>0</v>
      </c>
      <c r="AT81" s="72">
        <v>-8.8235294117647078E-2</v>
      </c>
      <c r="AU81" s="27"/>
      <c r="AV81" s="72">
        <v>-3.2258064516129004E-2</v>
      </c>
      <c r="AW81" s="72">
        <v>1.6666666666666607E-2</v>
      </c>
      <c r="AX81" s="72">
        <v>3.2786885245901676E-2</v>
      </c>
      <c r="AY81" s="72">
        <v>-7.9365079365079416E-2</v>
      </c>
      <c r="AZ81" s="27"/>
      <c r="BA81" s="72">
        <v>-1.7241379310344862E-2</v>
      </c>
    </row>
    <row r="82" spans="1:202">
      <c r="A82" s="71" t="s">
        <v>8</v>
      </c>
      <c r="B82" s="24"/>
      <c r="C82" s="73"/>
      <c r="D82" s="73"/>
      <c r="E82" s="73"/>
      <c r="F82" s="73"/>
      <c r="G82" s="24"/>
      <c r="H82" s="73"/>
      <c r="I82" s="73"/>
      <c r="J82" s="73"/>
      <c r="K82" s="72"/>
      <c r="L82" s="24"/>
      <c r="M82" s="73"/>
      <c r="N82" s="73"/>
      <c r="O82" s="73"/>
      <c r="P82" s="72"/>
      <c r="Q82" s="24"/>
      <c r="R82" s="73">
        <v>0</v>
      </c>
      <c r="S82" s="73">
        <v>-1.8018018018018056E-2</v>
      </c>
      <c r="T82" s="73">
        <v>-5.3097345132743334E-2</v>
      </c>
      <c r="U82" s="72">
        <v>-8.256880733944949E-2</v>
      </c>
      <c r="V82" s="24">
        <v>-3.6036036036036001E-2</v>
      </c>
      <c r="W82" s="73">
        <v>-0.11818181818181817</v>
      </c>
      <c r="X82" s="73">
        <v>-9.1743119266055051E-2</v>
      </c>
      <c r="Y82" s="73">
        <v>-0.11214953271028039</v>
      </c>
      <c r="Z82" s="72">
        <v>-0.10999999999999999</v>
      </c>
      <c r="AA82" s="24">
        <v>-0.11214953271028039</v>
      </c>
      <c r="AB82" s="73">
        <v>-0.11340206185567014</v>
      </c>
      <c r="AC82" s="73">
        <v>-0.14141414141414144</v>
      </c>
      <c r="AD82" s="73">
        <v>-7.3684210526315796E-2</v>
      </c>
      <c r="AE82" s="72">
        <v>-3.3707865168539297E-2</v>
      </c>
      <c r="AF82" s="24">
        <v>-9.4736842105263119E-2</v>
      </c>
      <c r="AG82" s="73">
        <v>-6.9767441860465129E-2</v>
      </c>
      <c r="AH82" s="73">
        <v>-7.0588235294117618E-2</v>
      </c>
      <c r="AI82" s="73">
        <v>-0.11363636363636365</v>
      </c>
      <c r="AJ82" s="72">
        <v>-0.12790697674418605</v>
      </c>
      <c r="AK82" s="24">
        <v>-9.3023255813953543E-2</v>
      </c>
      <c r="AL82" s="73">
        <v>-0.1875</v>
      </c>
      <c r="AM82" s="73">
        <v>-0.17721518987341767</v>
      </c>
      <c r="AN82" s="73">
        <v>-0.12820512820512819</v>
      </c>
      <c r="AO82" s="72">
        <v>-0.19999999999999996</v>
      </c>
      <c r="AP82" s="24">
        <v>-0.17948717948717952</v>
      </c>
      <c r="AQ82" s="73">
        <v>-0.12307692307692308</v>
      </c>
      <c r="AR82" s="73">
        <v>4.6153846153846212E-2</v>
      </c>
      <c r="AS82" s="73">
        <v>0</v>
      </c>
      <c r="AT82" s="72">
        <v>3.3333333333333437E-2</v>
      </c>
      <c r="AU82" s="24">
        <v>-1.5625E-2</v>
      </c>
      <c r="AV82" s="73">
        <v>5.2631578947368363E-2</v>
      </c>
      <c r="AW82" s="73">
        <v>-0.1029411764705882</v>
      </c>
      <c r="AX82" s="73">
        <v>-7.3529411764705843E-2</v>
      </c>
      <c r="AY82" s="72">
        <v>-6.4516129032258118E-2</v>
      </c>
      <c r="AZ82" s="24">
        <v>-3.1746031746031744E-2</v>
      </c>
      <c r="BA82" s="73">
        <v>-5.0000000000000044E-2</v>
      </c>
    </row>
    <row r="83" spans="1:202" ht="14.25">
      <c r="A83" s="163"/>
      <c r="B83" s="24"/>
      <c r="C83" s="73"/>
      <c r="D83" s="73"/>
      <c r="E83" s="73"/>
      <c r="F83" s="73"/>
      <c r="G83" s="24"/>
      <c r="H83" s="73"/>
      <c r="I83" s="73"/>
      <c r="J83" s="73"/>
      <c r="K83" s="72"/>
      <c r="L83" s="24"/>
      <c r="M83" s="73"/>
      <c r="N83" s="73"/>
      <c r="O83" s="73"/>
      <c r="P83" s="72"/>
      <c r="Q83" s="24"/>
      <c r="R83" s="73"/>
      <c r="S83" s="73"/>
      <c r="T83" s="73"/>
      <c r="U83" s="72"/>
      <c r="V83" s="24"/>
      <c r="W83" s="73"/>
      <c r="X83" s="73"/>
      <c r="Y83" s="73"/>
      <c r="Z83" s="72"/>
      <c r="AA83" s="24"/>
      <c r="AB83" s="73"/>
      <c r="AC83" s="73"/>
      <c r="AD83" s="73"/>
      <c r="AE83" s="72"/>
      <c r="AF83" s="24"/>
      <c r="AG83" s="73"/>
      <c r="AH83" s="73"/>
      <c r="AI83" s="73"/>
      <c r="AJ83" s="72"/>
      <c r="AK83" s="24"/>
      <c r="AL83" s="73"/>
      <c r="AM83" s="73"/>
      <c r="AN83" s="73"/>
      <c r="AO83" s="72"/>
      <c r="AP83" s="24"/>
      <c r="AQ83" s="73"/>
      <c r="AR83" s="73"/>
      <c r="AS83" s="73"/>
      <c r="AT83" s="72"/>
      <c r="AU83" s="24"/>
      <c r="AV83" s="73"/>
      <c r="AW83" s="73"/>
      <c r="AX83" s="73"/>
      <c r="AY83" s="72"/>
      <c r="AZ83" s="24"/>
      <c r="BA83" s="73"/>
    </row>
    <row r="84" spans="1:202">
      <c r="A84" s="69" t="s">
        <v>167</v>
      </c>
      <c r="B84" s="99" t="s">
        <v>53</v>
      </c>
      <c r="C84" s="80" t="s">
        <v>53</v>
      </c>
      <c r="D84" s="80" t="s">
        <v>53</v>
      </c>
      <c r="E84" s="80" t="s">
        <v>53</v>
      </c>
      <c r="F84" s="80" t="s">
        <v>53</v>
      </c>
      <c r="G84" s="99" t="s">
        <v>53</v>
      </c>
      <c r="H84" s="90">
        <v>3.3000000000000002E-2</v>
      </c>
      <c r="I84" s="90">
        <v>3.3000000000000002E-2</v>
      </c>
      <c r="J84" s="90">
        <v>3.7999999999999999E-2</v>
      </c>
      <c r="K84" s="90">
        <v>3.4000000000000002E-2</v>
      </c>
      <c r="L84" s="56">
        <v>0.13800000000000001</v>
      </c>
      <c r="M84" s="90">
        <v>3.9E-2</v>
      </c>
      <c r="N84" s="90">
        <v>3.9E-2</v>
      </c>
      <c r="O84" s="90">
        <v>3.5000000000000003E-2</v>
      </c>
      <c r="P84" s="90">
        <v>3.9E-2</v>
      </c>
      <c r="Q84" s="56">
        <v>0.153</v>
      </c>
      <c r="R84" s="90">
        <v>0.05</v>
      </c>
      <c r="S84" s="90">
        <v>6.6000000000000003E-2</v>
      </c>
      <c r="T84" s="90">
        <v>6.0999999999999999E-2</v>
      </c>
      <c r="U84" s="90">
        <v>5.2999999999999999E-2</v>
      </c>
      <c r="V84" s="56">
        <v>0.22900000000000001</v>
      </c>
      <c r="W84" s="90">
        <v>3.9E-2</v>
      </c>
      <c r="X84" s="90">
        <v>0.06</v>
      </c>
      <c r="Y84" s="90">
        <v>6.7000000000000004E-2</v>
      </c>
      <c r="Z84" s="90">
        <v>5.8999999999999997E-2</v>
      </c>
      <c r="AA84" s="56">
        <v>0.224</v>
      </c>
      <c r="AB84" s="90">
        <v>7.1999999999999995E-2</v>
      </c>
      <c r="AC84" s="90">
        <v>6.9000000000000006E-2</v>
      </c>
      <c r="AD84" s="90">
        <v>6.2E-2</v>
      </c>
      <c r="AE84" s="90">
        <v>8.3000000000000004E-2</v>
      </c>
      <c r="AF84" s="56">
        <v>0.28599999999999998</v>
      </c>
      <c r="AG84" s="90">
        <v>7.5999999999999998E-2</v>
      </c>
      <c r="AH84" s="90">
        <v>6.5000000000000002E-2</v>
      </c>
      <c r="AI84" s="90">
        <v>7.2999999999999995E-2</v>
      </c>
      <c r="AJ84" s="90">
        <v>6.6000000000000003E-2</v>
      </c>
      <c r="AK84" s="56">
        <v>0.28000000000000003</v>
      </c>
      <c r="AL84" s="90">
        <v>6.5000000000000002E-2</v>
      </c>
      <c r="AM84" s="90">
        <v>6.0999999999999999E-2</v>
      </c>
      <c r="AN84" s="90">
        <v>6.4000000000000001E-2</v>
      </c>
      <c r="AO84" s="166">
        <v>6.7000000000000004E-2</v>
      </c>
      <c r="AP84" s="56">
        <v>0.25800000000000001</v>
      </c>
      <c r="AQ84" s="90">
        <v>5.1999999999999998E-2</v>
      </c>
      <c r="AR84" s="90">
        <v>6.2E-2</v>
      </c>
      <c r="AS84" s="90">
        <v>6.0999999999999999E-2</v>
      </c>
      <c r="AT84" s="90">
        <v>6.3E-2</v>
      </c>
      <c r="AU84" s="56">
        <v>0.23699999999999999</v>
      </c>
      <c r="AV84" s="90">
        <v>7.9000000000000001E-2</v>
      </c>
      <c r="AW84" s="90">
        <v>6.3E-2</v>
      </c>
      <c r="AX84" s="90">
        <v>7.0999999999999994E-2</v>
      </c>
      <c r="AY84" s="90">
        <v>6.9000000000000006E-2</v>
      </c>
      <c r="AZ84" s="56">
        <v>0.28199999999999997</v>
      </c>
      <c r="BA84" s="90">
        <v>0.08</v>
      </c>
    </row>
    <row r="85" spans="1:202">
      <c r="A85" s="69"/>
      <c r="B85" s="99"/>
      <c r="C85" s="80"/>
      <c r="D85" s="80"/>
      <c r="E85" s="80"/>
      <c r="F85" s="80"/>
      <c r="G85" s="99"/>
      <c r="H85" s="90"/>
      <c r="I85" s="90"/>
      <c r="J85" s="90"/>
      <c r="K85" s="90"/>
      <c r="L85" s="56"/>
      <c r="M85" s="90"/>
      <c r="N85" s="90"/>
      <c r="O85" s="90"/>
      <c r="P85" s="90"/>
      <c r="Q85" s="56"/>
      <c r="R85" s="90"/>
      <c r="S85" s="90"/>
      <c r="T85" s="90"/>
      <c r="U85" s="90"/>
      <c r="V85" s="56"/>
      <c r="W85" s="90"/>
      <c r="X85" s="90"/>
      <c r="Y85" s="90"/>
      <c r="Z85" s="90"/>
      <c r="AA85" s="56"/>
      <c r="AB85" s="90"/>
      <c r="AC85" s="90"/>
      <c r="AD85" s="90"/>
      <c r="AE85" s="90"/>
      <c r="AF85" s="56"/>
      <c r="AG85" s="90"/>
      <c r="AH85" s="90"/>
      <c r="AI85" s="90"/>
      <c r="AJ85" s="90"/>
      <c r="AK85" s="56"/>
      <c r="AL85" s="90"/>
      <c r="AM85" s="90"/>
      <c r="AN85" s="90"/>
      <c r="AO85" s="90"/>
      <c r="AP85" s="56"/>
      <c r="AQ85" s="90"/>
      <c r="AR85" s="90"/>
      <c r="AS85" s="90"/>
      <c r="AT85" s="90"/>
      <c r="AU85" s="56"/>
      <c r="AV85" s="90"/>
      <c r="AW85" s="90"/>
      <c r="AX85" s="90"/>
      <c r="AY85" s="90"/>
      <c r="AZ85" s="56"/>
      <c r="BA85" s="90"/>
    </row>
    <row r="86" spans="1:202">
      <c r="A86" s="36" t="s">
        <v>18</v>
      </c>
      <c r="B86" s="142"/>
      <c r="C86" s="80"/>
      <c r="D86" s="80"/>
      <c r="E86" s="80"/>
      <c r="F86" s="80"/>
      <c r="G86" s="99" t="s">
        <v>53</v>
      </c>
      <c r="H86" s="90"/>
      <c r="I86" s="90"/>
      <c r="J86" s="90"/>
      <c r="K86" s="90"/>
      <c r="L86" s="99" t="s">
        <v>53</v>
      </c>
      <c r="M86" s="90"/>
      <c r="N86" s="90"/>
      <c r="O86" s="90"/>
      <c r="P86" s="90"/>
      <c r="Q86" s="99" t="s">
        <v>53</v>
      </c>
      <c r="R86" s="120" t="s">
        <v>45</v>
      </c>
      <c r="S86" s="120" t="s">
        <v>45</v>
      </c>
      <c r="T86" s="120" t="s">
        <v>45</v>
      </c>
      <c r="U86" s="120" t="s">
        <v>45</v>
      </c>
      <c r="V86" s="99" t="s">
        <v>53</v>
      </c>
      <c r="W86" s="120" t="s">
        <v>45</v>
      </c>
      <c r="X86" s="120" t="s">
        <v>45</v>
      </c>
      <c r="Y86" s="120" t="s">
        <v>45</v>
      </c>
      <c r="Z86" s="120" t="s">
        <v>45</v>
      </c>
      <c r="AA86" s="91">
        <v>4072</v>
      </c>
      <c r="AB86" s="120" t="s">
        <v>45</v>
      </c>
      <c r="AC86" s="120" t="s">
        <v>45</v>
      </c>
      <c r="AD86" s="120" t="s">
        <v>45</v>
      </c>
      <c r="AE86" s="120" t="s">
        <v>45</v>
      </c>
      <c r="AF86" s="91">
        <v>3288</v>
      </c>
      <c r="AG86" s="120" t="s">
        <v>45</v>
      </c>
      <c r="AH86" s="120" t="s">
        <v>45</v>
      </c>
      <c r="AI86" s="120" t="s">
        <v>45</v>
      </c>
      <c r="AJ86" s="70">
        <v>3001</v>
      </c>
      <c r="AK86" s="91">
        <v>3001</v>
      </c>
      <c r="AL86" s="120" t="s">
        <v>45</v>
      </c>
      <c r="AM86" s="120" t="s">
        <v>45</v>
      </c>
      <c r="AN86" s="120" t="s">
        <v>45</v>
      </c>
      <c r="AO86" s="70">
        <v>2679</v>
      </c>
      <c r="AP86" s="91">
        <v>2679</v>
      </c>
      <c r="AQ86" s="120" t="s">
        <v>45</v>
      </c>
      <c r="AR86" s="120" t="s">
        <v>45</v>
      </c>
      <c r="AS86" s="120" t="s">
        <v>45</v>
      </c>
      <c r="AT86" s="70">
        <v>2594</v>
      </c>
      <c r="AU86" s="91">
        <v>2594</v>
      </c>
      <c r="AV86" s="120" t="s">
        <v>45</v>
      </c>
      <c r="AW86" s="120" t="s">
        <v>45</v>
      </c>
      <c r="AX86" s="120" t="s">
        <v>45</v>
      </c>
      <c r="AY86" s="70">
        <v>2551</v>
      </c>
      <c r="AZ86" s="91">
        <v>2551</v>
      </c>
      <c r="BA86" s="120" t="s">
        <v>45</v>
      </c>
    </row>
    <row r="87" spans="1:202">
      <c r="A87" s="71" t="s">
        <v>8</v>
      </c>
      <c r="B87" s="99"/>
      <c r="C87" s="99"/>
      <c r="D87" s="99"/>
      <c r="E87" s="99"/>
      <c r="F87" s="99"/>
      <c r="G87" s="99"/>
      <c r="H87" s="99"/>
      <c r="I87" s="99"/>
      <c r="J87" s="99"/>
      <c r="K87" s="99"/>
      <c r="L87" s="99"/>
      <c r="M87" s="99"/>
      <c r="N87" s="99"/>
      <c r="O87" s="99"/>
      <c r="P87" s="99"/>
      <c r="Q87" s="99"/>
      <c r="R87" s="99"/>
      <c r="S87" s="99"/>
      <c r="T87" s="99"/>
      <c r="U87" s="99"/>
      <c r="V87" s="99"/>
      <c r="W87" s="73"/>
      <c r="X87" s="73"/>
      <c r="Y87" s="73"/>
      <c r="Z87" s="72"/>
      <c r="AA87" s="24"/>
      <c r="AB87" s="73"/>
      <c r="AC87" s="73"/>
      <c r="AD87" s="73"/>
      <c r="AE87" s="72"/>
      <c r="AF87" s="24">
        <v>-0.19253438113948917</v>
      </c>
      <c r="AG87" s="73"/>
      <c r="AH87" s="73"/>
      <c r="AI87" s="73"/>
      <c r="AJ87" s="72"/>
      <c r="AK87" s="24">
        <v>-8.7287104622871037E-2</v>
      </c>
      <c r="AL87" s="73"/>
      <c r="AM87" s="73"/>
      <c r="AN87" s="73"/>
      <c r="AO87" s="72"/>
      <c r="AP87" s="24">
        <v>-0.10729756747750752</v>
      </c>
      <c r="AQ87" s="73"/>
      <c r="AR87" s="73"/>
      <c r="AS87" s="73"/>
      <c r="AT87" s="72"/>
      <c r="AU87" s="24">
        <v>-3.1728256812243338E-2</v>
      </c>
      <c r="AV87" s="73"/>
      <c r="AW87" s="73"/>
      <c r="AX87" s="73"/>
      <c r="AY87" s="72"/>
      <c r="AZ87" s="24">
        <v>-1.6576715497301442E-2</v>
      </c>
      <c r="BA87" s="73"/>
    </row>
    <row r="88" spans="1:202" s="2" customFormat="1" ht="6.75" hidden="1" customHeight="1">
      <c r="A88" s="94"/>
      <c r="B88" s="99"/>
      <c r="C88" s="99"/>
      <c r="D88" s="99"/>
      <c r="E88" s="99"/>
      <c r="F88" s="99"/>
      <c r="G88" s="99"/>
      <c r="H88" s="99"/>
      <c r="I88" s="99"/>
      <c r="J88" s="99"/>
      <c r="K88" s="99"/>
      <c r="L88" s="99"/>
      <c r="M88" s="99"/>
      <c r="N88" s="99"/>
      <c r="O88" s="99"/>
      <c r="P88" s="99"/>
      <c r="Q88" s="99"/>
      <c r="R88" s="99"/>
      <c r="S88" s="99"/>
      <c r="T88" s="99"/>
      <c r="U88" s="99"/>
      <c r="V88" s="99"/>
      <c r="W88" s="46"/>
      <c r="X88" s="46"/>
      <c r="Y88" s="46"/>
      <c r="Z88" s="46"/>
      <c r="AA88" s="46"/>
      <c r="AB88" s="46"/>
      <c r="AC88" s="46"/>
      <c r="AD88" s="46"/>
      <c r="AE88" s="46"/>
      <c r="AF88" s="46"/>
      <c r="AG88" s="46"/>
      <c r="AH88" s="46"/>
      <c r="AI88" s="46"/>
      <c r="AJ88" s="46"/>
      <c r="AK88" s="46"/>
      <c r="AL88" s="46"/>
      <c r="AM88" s="46"/>
      <c r="AN88" s="46"/>
      <c r="AO88" s="46"/>
      <c r="AP88" s="46"/>
      <c r="AQ88" s="46"/>
      <c r="AR88" s="46"/>
      <c r="AS88" s="46"/>
      <c r="AT88" s="46"/>
      <c r="AU88" s="46"/>
      <c r="AV88" s="46"/>
      <c r="AW88" s="46"/>
      <c r="AX88" s="46"/>
      <c r="AY88" s="46"/>
      <c r="AZ88" s="46"/>
      <c r="BA88" s="46"/>
      <c r="BB88" s="3"/>
      <c r="BC88" s="3"/>
      <c r="BD88" s="3"/>
      <c r="BE88" s="3"/>
      <c r="BF88" s="3"/>
      <c r="BG88" s="3"/>
      <c r="BH88" s="3"/>
      <c r="BI88" s="36"/>
      <c r="BJ88" s="36"/>
      <c r="BK88" s="36"/>
      <c r="BL88" s="36"/>
      <c r="BM88" s="36"/>
      <c r="BN88" s="36"/>
      <c r="BO88" s="36"/>
      <c r="BP88" s="36"/>
      <c r="BQ88" s="36"/>
      <c r="BR88" s="36"/>
      <c r="BS88" s="36"/>
      <c r="BT88" s="36"/>
      <c r="BU88" s="36"/>
      <c r="BV88" s="36"/>
      <c r="BW88" s="36"/>
      <c r="BX88" s="36"/>
      <c r="BY88" s="36"/>
      <c r="BZ88" s="36"/>
      <c r="CA88" s="36"/>
      <c r="CB88" s="36"/>
      <c r="CC88" s="36"/>
      <c r="CD88" s="36"/>
      <c r="CE88" s="36"/>
      <c r="CF88" s="36"/>
      <c r="CG88" s="36"/>
      <c r="CH88" s="36"/>
      <c r="CI88" s="36"/>
      <c r="CJ88" s="36"/>
      <c r="CK88" s="36"/>
      <c r="CL88" s="36"/>
      <c r="CM88" s="36"/>
      <c r="CN88" s="36"/>
      <c r="CO88" s="36"/>
      <c r="CP88" s="36"/>
      <c r="CQ88" s="36"/>
      <c r="CR88" s="36"/>
      <c r="CS88" s="36"/>
      <c r="CT88" s="36"/>
      <c r="CU88" s="36"/>
      <c r="CV88" s="36"/>
      <c r="CW88" s="36"/>
      <c r="CX88" s="36"/>
      <c r="CY88" s="36"/>
      <c r="CZ88" s="36"/>
      <c r="DA88" s="36"/>
      <c r="DB88" s="36"/>
      <c r="DC88" s="36"/>
      <c r="DD88" s="36"/>
      <c r="DE88" s="36"/>
      <c r="DF88" s="36"/>
      <c r="DG88" s="36"/>
      <c r="DH88" s="36"/>
      <c r="DI88" s="36"/>
      <c r="DJ88" s="36"/>
      <c r="DK88" s="36"/>
      <c r="DL88" s="36"/>
      <c r="DM88" s="36"/>
      <c r="DN88" s="36"/>
      <c r="DO88" s="36"/>
      <c r="DP88" s="36"/>
      <c r="DQ88" s="36"/>
      <c r="DR88" s="36"/>
      <c r="DS88" s="36"/>
      <c r="DT88" s="36"/>
      <c r="DU88" s="36"/>
      <c r="DV88" s="36"/>
      <c r="DW88" s="36"/>
      <c r="DX88" s="36"/>
      <c r="DY88" s="36"/>
      <c r="DZ88" s="36"/>
      <c r="EA88" s="36"/>
      <c r="EB88" s="36"/>
      <c r="EC88" s="36"/>
      <c r="ED88" s="36"/>
      <c r="EE88" s="36"/>
      <c r="EF88" s="36"/>
      <c r="EG88" s="36"/>
      <c r="EH88" s="36"/>
      <c r="EI88" s="36"/>
      <c r="EJ88" s="36"/>
      <c r="EK88" s="36"/>
      <c r="EL88" s="36"/>
      <c r="EM88" s="36"/>
      <c r="EN88" s="36"/>
      <c r="EO88" s="36"/>
      <c r="EP88" s="36"/>
      <c r="EQ88" s="36"/>
      <c r="ER88" s="36"/>
      <c r="ES88" s="36"/>
      <c r="ET88" s="36"/>
      <c r="EU88" s="36"/>
      <c r="EV88" s="36"/>
      <c r="EW88" s="36"/>
      <c r="EX88" s="36"/>
      <c r="EY88" s="36"/>
      <c r="EZ88" s="36"/>
      <c r="FA88" s="36"/>
      <c r="FB88" s="36"/>
      <c r="FC88" s="36"/>
      <c r="FD88" s="36"/>
      <c r="FE88" s="36"/>
      <c r="FF88" s="36"/>
      <c r="FG88" s="36"/>
      <c r="FH88" s="36"/>
      <c r="FI88" s="36"/>
      <c r="FJ88" s="36"/>
      <c r="FK88" s="36"/>
      <c r="FL88" s="36"/>
      <c r="FM88" s="36"/>
      <c r="FN88" s="36"/>
      <c r="FO88" s="36"/>
      <c r="FP88" s="36"/>
      <c r="FQ88" s="36"/>
      <c r="FR88" s="36"/>
      <c r="FS88" s="36"/>
      <c r="FT88" s="36"/>
      <c r="FU88" s="36"/>
      <c r="FV88" s="36"/>
      <c r="FW88" s="36"/>
      <c r="FX88" s="36"/>
      <c r="FY88" s="36"/>
      <c r="FZ88" s="36"/>
      <c r="GA88" s="36"/>
      <c r="GB88" s="36"/>
      <c r="GC88" s="36"/>
      <c r="GD88" s="36"/>
      <c r="GE88" s="36"/>
      <c r="GF88" s="36"/>
      <c r="GG88" s="36"/>
      <c r="GH88" s="36"/>
      <c r="GI88" s="36"/>
      <c r="GJ88" s="36"/>
      <c r="GK88" s="36"/>
      <c r="GL88" s="36"/>
      <c r="GM88" s="36"/>
      <c r="GN88" s="36"/>
      <c r="GO88" s="36"/>
      <c r="GP88" s="36"/>
      <c r="GQ88" s="36"/>
      <c r="GR88" s="36"/>
      <c r="GS88" s="36"/>
      <c r="GT88" s="36"/>
    </row>
    <row r="89" spans="1:202" s="2" customFormat="1" ht="12.75" customHeight="1">
      <c r="A89" s="90"/>
      <c r="B89" s="56"/>
      <c r="C89" s="56"/>
      <c r="D89" s="56"/>
      <c r="E89" s="56"/>
      <c r="F89" s="56"/>
      <c r="G89" s="56"/>
      <c r="H89" s="56"/>
      <c r="I89" s="56"/>
      <c r="J89" s="56"/>
      <c r="K89" s="56"/>
      <c r="L89" s="56"/>
      <c r="M89" s="56"/>
      <c r="N89" s="56"/>
      <c r="O89" s="56"/>
      <c r="P89" s="56"/>
      <c r="Q89" s="56"/>
      <c r="R89" s="56"/>
      <c r="S89" s="56"/>
      <c r="T89" s="56"/>
      <c r="U89" s="56"/>
      <c r="V89" s="56"/>
      <c r="W89" s="56"/>
      <c r="X89" s="56"/>
      <c r="Y89" s="56"/>
      <c r="Z89" s="56"/>
      <c r="AA89" s="56"/>
      <c r="AB89" s="56"/>
      <c r="AC89" s="56"/>
      <c r="AD89" s="56"/>
      <c r="AE89" s="56"/>
      <c r="AF89" s="56"/>
      <c r="AG89" s="73"/>
      <c r="AH89" s="73"/>
      <c r="AI89" s="73"/>
      <c r="AJ89" s="73"/>
      <c r="AK89" s="56"/>
      <c r="AL89" s="90"/>
      <c r="AM89" s="90"/>
      <c r="AN89" s="90"/>
      <c r="AO89" s="73"/>
      <c r="AP89" s="56"/>
      <c r="AQ89" s="90"/>
      <c r="AR89" s="90"/>
      <c r="AS89" s="90"/>
      <c r="AT89" s="73"/>
      <c r="AU89" s="56"/>
      <c r="AV89" s="90"/>
      <c r="AW89" s="90"/>
      <c r="AX89" s="90"/>
      <c r="AY89" s="73"/>
      <c r="AZ89" s="56"/>
      <c r="BA89" s="90"/>
      <c r="BB89" s="3"/>
      <c r="BC89" s="3"/>
      <c r="BD89" s="3"/>
      <c r="BE89" s="3"/>
      <c r="BF89" s="3"/>
      <c r="BG89" s="3"/>
      <c r="BH89" s="3"/>
      <c r="BI89" s="36"/>
      <c r="BJ89" s="36"/>
      <c r="BK89" s="36"/>
      <c r="BL89" s="36"/>
      <c r="BM89" s="36"/>
      <c r="BN89" s="36"/>
      <c r="BO89" s="36"/>
      <c r="BP89" s="36"/>
      <c r="BQ89" s="36"/>
      <c r="BR89" s="36"/>
      <c r="BS89" s="36"/>
      <c r="BT89" s="36"/>
      <c r="BU89" s="36"/>
      <c r="BV89" s="36"/>
      <c r="BW89" s="36"/>
      <c r="BX89" s="36"/>
      <c r="BY89" s="36"/>
      <c r="BZ89" s="36"/>
      <c r="CA89" s="36"/>
      <c r="CB89" s="36"/>
      <c r="CC89" s="36"/>
      <c r="CD89" s="36"/>
      <c r="CE89" s="36"/>
      <c r="CF89" s="36"/>
      <c r="CG89" s="36"/>
      <c r="CH89" s="36"/>
      <c r="CI89" s="36"/>
      <c r="CJ89" s="36"/>
      <c r="CK89" s="36"/>
      <c r="CL89" s="36"/>
      <c r="CM89" s="36"/>
      <c r="CN89" s="36"/>
      <c r="CO89" s="36"/>
      <c r="CP89" s="36"/>
      <c r="CQ89" s="36"/>
      <c r="CR89" s="36"/>
      <c r="CS89" s="36"/>
      <c r="CT89" s="36"/>
      <c r="CU89" s="36"/>
      <c r="CV89" s="36"/>
      <c r="CW89" s="36"/>
      <c r="CX89" s="36"/>
      <c r="CY89" s="36"/>
      <c r="CZ89" s="36"/>
      <c r="DA89" s="36"/>
      <c r="DB89" s="36"/>
      <c r="DC89" s="36"/>
      <c r="DD89" s="36"/>
      <c r="DE89" s="36"/>
      <c r="DF89" s="36"/>
      <c r="DG89" s="36"/>
      <c r="DH89" s="36"/>
      <c r="DI89" s="36"/>
      <c r="DJ89" s="36"/>
      <c r="DK89" s="36"/>
      <c r="DL89" s="36"/>
      <c r="DM89" s="36"/>
      <c r="DN89" s="36"/>
      <c r="DO89" s="36"/>
      <c r="DP89" s="36"/>
      <c r="DQ89" s="36"/>
      <c r="DR89" s="36"/>
      <c r="DS89" s="36"/>
      <c r="DT89" s="36"/>
      <c r="DU89" s="36"/>
      <c r="DV89" s="36"/>
      <c r="DW89" s="36"/>
      <c r="DX89" s="36"/>
      <c r="DY89" s="36"/>
      <c r="DZ89" s="36"/>
      <c r="EA89" s="36"/>
      <c r="EB89" s="36"/>
      <c r="EC89" s="36"/>
      <c r="ED89" s="36"/>
      <c r="EE89" s="36"/>
      <c r="EF89" s="36"/>
      <c r="EG89" s="36"/>
      <c r="EH89" s="36"/>
      <c r="EI89" s="36"/>
      <c r="EJ89" s="36"/>
      <c r="EK89" s="36"/>
      <c r="EL89" s="36"/>
      <c r="EM89" s="36"/>
      <c r="EN89" s="36"/>
      <c r="EO89" s="36"/>
      <c r="EP89" s="36"/>
      <c r="EQ89" s="36"/>
      <c r="ER89" s="36"/>
      <c r="ES89" s="36"/>
      <c r="ET89" s="36"/>
      <c r="EU89" s="36"/>
      <c r="EV89" s="36"/>
      <c r="EW89" s="36"/>
      <c r="EX89" s="36"/>
      <c r="EY89" s="36"/>
      <c r="EZ89" s="36"/>
      <c r="FA89" s="36"/>
      <c r="FB89" s="36"/>
      <c r="FC89" s="36"/>
      <c r="FD89" s="36"/>
      <c r="FE89" s="36"/>
      <c r="FF89" s="36"/>
      <c r="FG89" s="36"/>
      <c r="FH89" s="36"/>
      <c r="FI89" s="36"/>
      <c r="FJ89" s="36"/>
      <c r="FK89" s="36"/>
      <c r="FL89" s="36"/>
      <c r="FM89" s="36"/>
      <c r="FN89" s="36"/>
      <c r="FO89" s="36"/>
      <c r="FP89" s="36"/>
      <c r="FQ89" s="36"/>
      <c r="FR89" s="36"/>
      <c r="FS89" s="36"/>
      <c r="FT89" s="36"/>
      <c r="FU89" s="36"/>
      <c r="FV89" s="36"/>
      <c r="FW89" s="36"/>
      <c r="FX89" s="36"/>
      <c r="FY89" s="36"/>
      <c r="FZ89" s="36"/>
      <c r="GA89" s="36"/>
      <c r="GB89" s="36"/>
      <c r="GC89" s="36"/>
      <c r="GD89" s="36"/>
      <c r="GE89" s="36"/>
      <c r="GF89" s="36"/>
      <c r="GG89" s="36"/>
      <c r="GH89" s="36"/>
      <c r="GI89" s="36"/>
      <c r="GJ89" s="36"/>
      <c r="GK89" s="36"/>
      <c r="GL89" s="36"/>
      <c r="GM89" s="36"/>
      <c r="GN89" s="36"/>
      <c r="GO89" s="36"/>
      <c r="GP89" s="36"/>
      <c r="GQ89" s="36"/>
      <c r="GR89" s="36"/>
      <c r="GS89" s="36"/>
      <c r="GT89" s="36"/>
    </row>
    <row r="90" spans="1:202" s="2" customFormat="1" ht="15.75" customHeight="1">
      <c r="A90" s="69" t="s">
        <v>161</v>
      </c>
      <c r="B90" s="56">
        <v>0.29199999999999998</v>
      </c>
      <c r="C90" s="56"/>
      <c r="D90" s="56"/>
      <c r="E90" s="56"/>
      <c r="F90" s="56"/>
      <c r="G90" s="56">
        <v>0.28599999999999998</v>
      </c>
      <c r="H90" s="56"/>
      <c r="I90" s="56"/>
      <c r="J90" s="56"/>
      <c r="K90" s="56"/>
      <c r="L90" s="56">
        <v>0.28999999999999998</v>
      </c>
      <c r="M90" s="56"/>
      <c r="N90" s="56"/>
      <c r="O90" s="56"/>
      <c r="P90" s="56"/>
      <c r="Q90" s="56">
        <v>0.28899999999999998</v>
      </c>
      <c r="R90" s="56"/>
      <c r="S90" s="56"/>
      <c r="T90" s="56"/>
      <c r="U90" s="56"/>
      <c r="V90" s="56">
        <v>0.28999999999999998</v>
      </c>
      <c r="W90" s="56"/>
      <c r="X90" s="56"/>
      <c r="Y90" s="56"/>
      <c r="Z90" s="56"/>
      <c r="AA90" s="56">
        <v>0.28199999999999997</v>
      </c>
      <c r="AB90" s="56"/>
      <c r="AC90" s="56"/>
      <c r="AD90" s="56"/>
      <c r="AE90" s="56"/>
      <c r="AF90" s="56">
        <v>0.26300000000000001</v>
      </c>
      <c r="AG90" s="120" t="s">
        <v>45</v>
      </c>
      <c r="AH90" s="120" t="s">
        <v>45</v>
      </c>
      <c r="AI90" s="120" t="s">
        <v>45</v>
      </c>
      <c r="AJ90" s="120" t="s">
        <v>45</v>
      </c>
      <c r="AK90" s="56">
        <v>0.255</v>
      </c>
      <c r="AL90" s="120" t="s">
        <v>45</v>
      </c>
      <c r="AM90" s="120" t="s">
        <v>45</v>
      </c>
      <c r="AN90" s="120" t="s">
        <v>45</v>
      </c>
      <c r="AO90" s="120" t="s">
        <v>45</v>
      </c>
      <c r="AP90" s="56">
        <v>0.252</v>
      </c>
      <c r="AQ90" s="120" t="s">
        <v>45</v>
      </c>
      <c r="AR90" s="120" t="s">
        <v>45</v>
      </c>
      <c r="AS90" s="195">
        <v>0.22700000000000001</v>
      </c>
      <c r="AT90" s="195">
        <v>0.23100000000000001</v>
      </c>
      <c r="AU90" s="39">
        <v>0.23100000000000001</v>
      </c>
      <c r="AV90" s="120" t="s">
        <v>45</v>
      </c>
      <c r="AW90" s="120" t="s">
        <v>45</v>
      </c>
      <c r="AX90" s="90">
        <v>0.23300000000000001</v>
      </c>
      <c r="AY90" s="120" t="s">
        <v>45</v>
      </c>
      <c r="AZ90" s="169" t="s">
        <v>45</v>
      </c>
      <c r="BA90" s="120" t="s">
        <v>45</v>
      </c>
      <c r="BB90" s="3"/>
      <c r="BC90" s="3"/>
      <c r="BD90" s="3"/>
      <c r="BE90" s="3"/>
      <c r="BF90" s="3"/>
      <c r="BG90" s="3"/>
      <c r="BH90" s="3"/>
      <c r="BI90" s="36"/>
      <c r="BJ90" s="36"/>
      <c r="BK90" s="36"/>
      <c r="BL90" s="36"/>
      <c r="BM90" s="36"/>
      <c r="BN90" s="36"/>
      <c r="BO90" s="36"/>
      <c r="BP90" s="36"/>
      <c r="BQ90" s="36"/>
      <c r="BR90" s="36"/>
      <c r="BS90" s="36"/>
      <c r="BT90" s="36"/>
      <c r="BU90" s="36"/>
      <c r="BV90" s="36"/>
      <c r="BW90" s="36"/>
      <c r="BX90" s="36"/>
      <c r="BY90" s="36"/>
      <c r="BZ90" s="36"/>
      <c r="CA90" s="36"/>
      <c r="CB90" s="36"/>
      <c r="CC90" s="36"/>
      <c r="CD90" s="36"/>
      <c r="CE90" s="36"/>
      <c r="CF90" s="36"/>
      <c r="CG90" s="36"/>
      <c r="CH90" s="36"/>
      <c r="CI90" s="36"/>
      <c r="CJ90" s="36"/>
      <c r="CK90" s="36"/>
      <c r="CL90" s="36"/>
      <c r="CM90" s="36"/>
      <c r="CN90" s="36"/>
      <c r="CO90" s="36"/>
      <c r="CP90" s="36"/>
      <c r="CQ90" s="36"/>
      <c r="CR90" s="36"/>
      <c r="CS90" s="36"/>
      <c r="CT90" s="36"/>
      <c r="CU90" s="36"/>
      <c r="CV90" s="36"/>
      <c r="CW90" s="36"/>
      <c r="CX90" s="36"/>
      <c r="CY90" s="36"/>
      <c r="CZ90" s="36"/>
      <c r="DA90" s="36"/>
      <c r="DB90" s="36"/>
      <c r="DC90" s="36"/>
      <c r="DD90" s="36"/>
      <c r="DE90" s="36"/>
      <c r="DF90" s="36"/>
      <c r="DG90" s="36"/>
      <c r="DH90" s="36"/>
      <c r="DI90" s="36"/>
      <c r="DJ90" s="36"/>
      <c r="DK90" s="36"/>
      <c r="DL90" s="36"/>
      <c r="DM90" s="36"/>
      <c r="DN90" s="36"/>
      <c r="DO90" s="36"/>
      <c r="DP90" s="36"/>
      <c r="DQ90" s="36"/>
      <c r="DR90" s="36"/>
      <c r="DS90" s="36"/>
      <c r="DT90" s="36"/>
      <c r="DU90" s="36"/>
      <c r="DV90" s="36"/>
      <c r="DW90" s="36"/>
      <c r="DX90" s="36"/>
      <c r="DY90" s="36"/>
      <c r="DZ90" s="36"/>
      <c r="EA90" s="36"/>
      <c r="EB90" s="36"/>
      <c r="EC90" s="36"/>
      <c r="ED90" s="36"/>
      <c r="EE90" s="36"/>
      <c r="EF90" s="36"/>
      <c r="EG90" s="36"/>
      <c r="EH90" s="36"/>
      <c r="EI90" s="36"/>
      <c r="EJ90" s="36"/>
      <c r="EK90" s="36"/>
      <c r="EL90" s="36"/>
      <c r="EM90" s="36"/>
      <c r="EN90" s="36"/>
      <c r="EO90" s="36"/>
      <c r="EP90" s="36"/>
      <c r="EQ90" s="36"/>
      <c r="ER90" s="36"/>
      <c r="ES90" s="36"/>
      <c r="ET90" s="36"/>
      <c r="EU90" s="36"/>
      <c r="EV90" s="36"/>
      <c r="EW90" s="36"/>
      <c r="EX90" s="36"/>
      <c r="EY90" s="36"/>
      <c r="EZ90" s="36"/>
      <c r="FA90" s="36"/>
      <c r="FB90" s="36"/>
      <c r="FC90" s="36"/>
      <c r="FD90" s="36"/>
      <c r="FE90" s="36"/>
      <c r="FF90" s="36"/>
      <c r="FG90" s="36"/>
      <c r="FH90" s="36"/>
      <c r="FI90" s="36"/>
      <c r="FJ90" s="36"/>
      <c r="FK90" s="36"/>
      <c r="FL90" s="36"/>
      <c r="FM90" s="36"/>
      <c r="FN90" s="36"/>
      <c r="FO90" s="36"/>
      <c r="FP90" s="36"/>
      <c r="FQ90" s="36"/>
      <c r="FR90" s="36"/>
      <c r="FS90" s="36"/>
      <c r="FT90" s="36"/>
      <c r="FU90" s="36"/>
      <c r="FV90" s="36"/>
      <c r="FW90" s="36"/>
      <c r="FX90" s="36"/>
      <c r="FY90" s="36"/>
      <c r="FZ90" s="36"/>
      <c r="GA90" s="36"/>
      <c r="GB90" s="36"/>
      <c r="GC90" s="36"/>
      <c r="GD90" s="36"/>
      <c r="GE90" s="36"/>
      <c r="GF90" s="36"/>
      <c r="GG90" s="36"/>
      <c r="GH90" s="36"/>
      <c r="GI90" s="36"/>
      <c r="GJ90" s="36"/>
      <c r="GK90" s="36"/>
      <c r="GL90" s="36"/>
      <c r="GM90" s="36"/>
      <c r="GN90" s="36"/>
      <c r="GO90" s="36"/>
      <c r="GP90" s="36"/>
      <c r="GQ90" s="36"/>
      <c r="GR90" s="36"/>
      <c r="GS90" s="36"/>
      <c r="GT90" s="36"/>
    </row>
    <row r="91" spans="1:202" s="2" customFormat="1" ht="3" customHeight="1">
      <c r="A91" s="94"/>
      <c r="B91" s="94"/>
      <c r="C91" s="94"/>
      <c r="D91" s="94"/>
      <c r="E91" s="94"/>
      <c r="F91" s="94"/>
      <c r="G91" s="94"/>
      <c r="H91" s="94"/>
      <c r="I91" s="94"/>
      <c r="J91" s="94"/>
      <c r="K91" s="94"/>
      <c r="L91" s="94"/>
      <c r="M91" s="94"/>
      <c r="N91" s="94"/>
      <c r="O91" s="94"/>
      <c r="P91" s="94"/>
      <c r="Q91" s="94"/>
      <c r="R91" s="94"/>
      <c r="S91" s="94"/>
      <c r="T91" s="94"/>
      <c r="U91" s="94"/>
      <c r="V91" s="94"/>
      <c r="W91" s="94"/>
      <c r="X91" s="94"/>
      <c r="Y91" s="94"/>
      <c r="Z91" s="94"/>
      <c r="AA91" s="94"/>
      <c r="AB91" s="94"/>
      <c r="AC91" s="94"/>
      <c r="AD91" s="94"/>
      <c r="AE91" s="94"/>
      <c r="AF91" s="94"/>
      <c r="AG91" s="94"/>
      <c r="AH91" s="94"/>
      <c r="AI91" s="94"/>
      <c r="AJ91" s="94"/>
      <c r="AK91" s="94"/>
      <c r="AL91" s="94"/>
      <c r="AM91" s="94"/>
      <c r="AN91" s="94"/>
      <c r="AO91" s="94"/>
      <c r="AP91" s="94"/>
      <c r="AQ91" s="94"/>
      <c r="AR91" s="94"/>
      <c r="AS91" s="94"/>
      <c r="AT91" s="94"/>
      <c r="AU91" s="94"/>
      <c r="AV91" s="94"/>
      <c r="AW91" s="94"/>
      <c r="AX91" s="94"/>
      <c r="AY91" s="94"/>
      <c r="AZ91" s="94"/>
      <c r="BA91" s="94"/>
      <c r="BB91" s="3"/>
      <c r="BC91" s="3"/>
      <c r="BD91" s="3"/>
      <c r="BE91" s="3"/>
      <c r="BF91" s="3"/>
      <c r="BG91" s="3"/>
      <c r="BH91" s="3"/>
      <c r="BI91" s="36"/>
      <c r="BJ91" s="36"/>
      <c r="BK91" s="36"/>
      <c r="BL91" s="36"/>
      <c r="BM91" s="36"/>
      <c r="BN91" s="36"/>
      <c r="BO91" s="36"/>
      <c r="BP91" s="36"/>
      <c r="BQ91" s="36"/>
      <c r="BR91" s="36"/>
      <c r="BS91" s="36"/>
      <c r="BT91" s="36"/>
      <c r="BU91" s="36"/>
      <c r="BV91" s="36"/>
      <c r="BW91" s="36"/>
      <c r="BX91" s="36"/>
      <c r="BY91" s="36"/>
      <c r="BZ91" s="36"/>
      <c r="CA91" s="36"/>
      <c r="CB91" s="36"/>
      <c r="CC91" s="36"/>
      <c r="CD91" s="36"/>
      <c r="CE91" s="36"/>
      <c r="CF91" s="36"/>
      <c r="CG91" s="36"/>
      <c r="CH91" s="36"/>
      <c r="CI91" s="36"/>
      <c r="CJ91" s="36"/>
      <c r="CK91" s="36"/>
      <c r="CL91" s="36"/>
      <c r="CM91" s="36"/>
      <c r="CN91" s="36"/>
      <c r="CO91" s="36"/>
      <c r="CP91" s="36"/>
      <c r="CQ91" s="36"/>
      <c r="CR91" s="36"/>
      <c r="CS91" s="36"/>
      <c r="CT91" s="36"/>
      <c r="CU91" s="36"/>
      <c r="CV91" s="36"/>
      <c r="CW91" s="36"/>
      <c r="CX91" s="36"/>
      <c r="CY91" s="36"/>
      <c r="CZ91" s="36"/>
      <c r="DA91" s="36"/>
      <c r="DB91" s="36"/>
      <c r="DC91" s="36"/>
      <c r="DD91" s="36"/>
      <c r="DE91" s="36"/>
      <c r="DF91" s="36"/>
      <c r="DG91" s="36"/>
      <c r="DH91" s="36"/>
      <c r="DI91" s="36"/>
      <c r="DJ91" s="36"/>
      <c r="DK91" s="36"/>
      <c r="DL91" s="36"/>
      <c r="DM91" s="36"/>
      <c r="DN91" s="36"/>
      <c r="DO91" s="36"/>
      <c r="DP91" s="36"/>
      <c r="DQ91" s="36"/>
      <c r="DR91" s="36"/>
      <c r="DS91" s="36"/>
      <c r="DT91" s="36"/>
      <c r="DU91" s="36"/>
      <c r="DV91" s="36"/>
      <c r="DW91" s="36"/>
      <c r="DX91" s="36"/>
      <c r="DY91" s="36"/>
      <c r="DZ91" s="36"/>
      <c r="EA91" s="36"/>
      <c r="EB91" s="36"/>
      <c r="EC91" s="36"/>
      <c r="ED91" s="36"/>
      <c r="EE91" s="36"/>
      <c r="EF91" s="36"/>
      <c r="EG91" s="36"/>
      <c r="EH91" s="36"/>
      <c r="EI91" s="36"/>
      <c r="EJ91" s="36"/>
      <c r="EK91" s="36"/>
      <c r="EL91" s="36"/>
      <c r="EM91" s="36"/>
      <c r="EN91" s="36"/>
      <c r="EO91" s="36"/>
      <c r="EP91" s="36"/>
      <c r="EQ91" s="36"/>
      <c r="ER91" s="36"/>
      <c r="ES91" s="36"/>
      <c r="ET91" s="36"/>
      <c r="EU91" s="36"/>
      <c r="EV91" s="36"/>
      <c r="EW91" s="36"/>
      <c r="EX91" s="36"/>
      <c r="EY91" s="36"/>
      <c r="EZ91" s="36"/>
      <c r="FA91" s="36"/>
      <c r="FB91" s="36"/>
      <c r="FC91" s="36"/>
      <c r="FD91" s="36"/>
      <c r="FE91" s="36"/>
      <c r="FF91" s="36"/>
      <c r="FG91" s="36"/>
      <c r="FH91" s="36"/>
      <c r="FI91" s="36"/>
      <c r="FJ91" s="36"/>
      <c r="FK91" s="36"/>
      <c r="FL91" s="36"/>
      <c r="FM91" s="36"/>
      <c r="FN91" s="36"/>
      <c r="FO91" s="36"/>
      <c r="FP91" s="36"/>
      <c r="FQ91" s="36"/>
      <c r="FR91" s="36"/>
      <c r="FS91" s="36"/>
      <c r="FT91" s="36"/>
      <c r="FU91" s="36"/>
      <c r="FV91" s="36"/>
      <c r="FW91" s="36"/>
      <c r="FX91" s="36"/>
      <c r="FY91" s="36"/>
      <c r="FZ91" s="36"/>
      <c r="GA91" s="36"/>
      <c r="GB91" s="36"/>
      <c r="GC91" s="36"/>
      <c r="GD91" s="36"/>
      <c r="GE91" s="36"/>
      <c r="GF91" s="36"/>
      <c r="GG91" s="36"/>
      <c r="GH91" s="36"/>
      <c r="GI91" s="36"/>
      <c r="GJ91" s="36"/>
      <c r="GK91" s="36"/>
      <c r="GL91" s="36"/>
      <c r="GM91" s="36"/>
      <c r="GN91" s="36"/>
      <c r="GO91" s="36"/>
      <c r="GP91" s="36"/>
      <c r="GQ91" s="36"/>
      <c r="GR91" s="36"/>
      <c r="GS91" s="36"/>
      <c r="GT91" s="36"/>
    </row>
    <row r="92" spans="1:202" ht="20.25">
      <c r="A92" s="35" t="s">
        <v>15</v>
      </c>
      <c r="B92" s="23"/>
      <c r="C92" s="23"/>
      <c r="D92" s="23"/>
      <c r="E92" s="23"/>
      <c r="F92" s="23"/>
      <c r="G92" s="23"/>
      <c r="H92" s="23"/>
      <c r="I92" s="23"/>
      <c r="J92" s="23"/>
      <c r="K92" s="23"/>
      <c r="L92" s="23"/>
      <c r="M92" s="23"/>
      <c r="N92" s="23"/>
      <c r="O92" s="23"/>
      <c r="P92" s="23"/>
      <c r="Q92" s="23"/>
      <c r="R92" s="23"/>
      <c r="S92" s="23"/>
      <c r="T92" s="23"/>
      <c r="U92" s="23"/>
      <c r="V92" s="23"/>
      <c r="W92" s="23"/>
      <c r="X92" s="23"/>
      <c r="Y92" s="23"/>
      <c r="Z92" s="23"/>
      <c r="AA92" s="23"/>
      <c r="AB92" s="23"/>
      <c r="AC92" s="23"/>
      <c r="AD92" s="23"/>
      <c r="AE92" s="23"/>
      <c r="AF92" s="23"/>
      <c r="AG92" s="23"/>
      <c r="AH92" s="23"/>
      <c r="AI92" s="23"/>
      <c r="AJ92" s="23"/>
      <c r="AK92" s="23"/>
      <c r="AL92" s="23"/>
      <c r="AM92" s="23"/>
      <c r="AN92" s="23"/>
      <c r="AO92" s="23"/>
      <c r="AP92" s="23"/>
      <c r="AQ92" s="23"/>
      <c r="AR92" s="23"/>
      <c r="AS92" s="23"/>
      <c r="AT92" s="23"/>
      <c r="AU92" s="23"/>
      <c r="AV92" s="23"/>
      <c r="AW92" s="23"/>
      <c r="AX92" s="23"/>
      <c r="AY92" s="23"/>
      <c r="AZ92" s="23"/>
      <c r="BA92" s="23"/>
    </row>
    <row r="93" spans="1:202">
      <c r="A93" s="22"/>
      <c r="B93" s="22"/>
      <c r="C93" s="22"/>
      <c r="D93" s="22"/>
      <c r="E93" s="22"/>
      <c r="F93" s="22"/>
      <c r="G93" s="22"/>
      <c r="H93" s="22"/>
      <c r="I93" s="22"/>
      <c r="J93" s="22"/>
      <c r="K93" s="22"/>
      <c r="L93" s="22"/>
      <c r="M93" s="22"/>
      <c r="N93" s="22"/>
      <c r="O93" s="22"/>
      <c r="P93" s="22"/>
      <c r="Q93" s="22"/>
      <c r="R93" s="22"/>
      <c r="S93" s="22"/>
      <c r="T93" s="22"/>
      <c r="U93" s="22"/>
      <c r="V93" s="22"/>
      <c r="W93" s="22"/>
      <c r="X93" s="22"/>
      <c r="Y93" s="22"/>
      <c r="Z93" s="22"/>
      <c r="AA93" s="22"/>
      <c r="AB93" s="22"/>
      <c r="AC93" s="22"/>
      <c r="AD93" s="22"/>
      <c r="AE93" s="22"/>
      <c r="AF93" s="22"/>
      <c r="AG93" s="22"/>
      <c r="AH93" s="22"/>
      <c r="AI93" s="22"/>
      <c r="AJ93" s="22"/>
      <c r="AK93" s="22"/>
      <c r="AL93" s="22"/>
      <c r="AM93" s="22"/>
      <c r="AN93" s="22"/>
      <c r="AO93" s="22"/>
      <c r="AP93" s="22"/>
      <c r="AQ93" s="22"/>
      <c r="AR93" s="22"/>
      <c r="AS93" s="22"/>
      <c r="AT93" s="22"/>
      <c r="AU93" s="22"/>
      <c r="AV93" s="22"/>
      <c r="AW93" s="22"/>
      <c r="AX93" s="22"/>
      <c r="AY93" s="22"/>
      <c r="AZ93" s="22"/>
      <c r="BA93" s="22"/>
    </row>
    <row r="94" spans="1:202">
      <c r="A94" s="40" t="s">
        <v>27</v>
      </c>
      <c r="B94" s="41"/>
      <c r="C94" s="42"/>
      <c r="D94" s="42"/>
      <c r="E94" s="42"/>
      <c r="F94" s="42"/>
      <c r="G94" s="41"/>
      <c r="H94" s="42"/>
      <c r="I94" s="42"/>
      <c r="J94" s="42"/>
      <c r="K94" s="42"/>
      <c r="L94" s="42"/>
      <c r="M94" s="42"/>
      <c r="N94" s="42"/>
      <c r="O94" s="42"/>
      <c r="P94" s="42"/>
      <c r="Q94" s="42"/>
      <c r="R94" s="42"/>
      <c r="S94" s="42"/>
      <c r="T94" s="42"/>
      <c r="U94" s="42"/>
      <c r="V94" s="42"/>
      <c r="W94" s="42"/>
      <c r="X94" s="42"/>
      <c r="Y94" s="42"/>
      <c r="Z94" s="42"/>
      <c r="AA94" s="42"/>
      <c r="AB94" s="42"/>
      <c r="AC94" s="42"/>
      <c r="AD94" s="42"/>
      <c r="AE94" s="42"/>
      <c r="AF94" s="42"/>
      <c r="AG94" s="42"/>
      <c r="AH94" s="42"/>
      <c r="AI94" s="42"/>
      <c r="AJ94" s="42"/>
      <c r="AK94" s="42"/>
      <c r="AL94" s="42"/>
      <c r="AM94" s="42"/>
      <c r="AN94" s="42"/>
      <c r="AO94" s="42"/>
      <c r="AP94" s="42"/>
      <c r="AQ94" s="42"/>
      <c r="AR94" s="42"/>
      <c r="AS94" s="42"/>
      <c r="AT94" s="42"/>
      <c r="AU94" s="42"/>
      <c r="AV94" s="42"/>
      <c r="AW94" s="42"/>
      <c r="AX94" s="42"/>
      <c r="AY94" s="42"/>
      <c r="AZ94" s="42"/>
      <c r="BA94" s="42"/>
    </row>
    <row r="95" spans="1:202" ht="3.6" customHeight="1">
      <c r="A95" s="69"/>
      <c r="B95" s="29"/>
      <c r="C95" s="69"/>
      <c r="D95" s="69"/>
      <c r="E95" s="69"/>
      <c r="F95" s="69"/>
      <c r="G95" s="29"/>
      <c r="H95" s="69"/>
      <c r="I95" s="69"/>
      <c r="J95" s="69"/>
      <c r="K95" s="69"/>
      <c r="L95" s="21"/>
      <c r="M95" s="69"/>
      <c r="N95" s="69"/>
      <c r="O95" s="69"/>
      <c r="P95" s="69"/>
      <c r="Q95" s="21"/>
      <c r="R95" s="69"/>
      <c r="S95" s="69"/>
      <c r="T95" s="69"/>
      <c r="U95" s="69"/>
      <c r="V95" s="21"/>
      <c r="W95" s="69"/>
      <c r="X95" s="69"/>
      <c r="Y95" s="69"/>
      <c r="Z95" s="69"/>
      <c r="AA95" s="21"/>
      <c r="AB95" s="69"/>
      <c r="AC95" s="69"/>
      <c r="AD95" s="69"/>
      <c r="AE95" s="69"/>
      <c r="AF95" s="21"/>
      <c r="AG95" s="69"/>
      <c r="AH95" s="69"/>
      <c r="AI95" s="69"/>
      <c r="AJ95" s="69"/>
      <c r="AK95" s="21"/>
      <c r="AL95" s="69"/>
      <c r="AM95" s="69"/>
      <c r="AN95" s="69"/>
      <c r="AO95" s="69"/>
      <c r="AP95" s="21"/>
      <c r="AQ95" s="69"/>
      <c r="AR95" s="69"/>
      <c r="AS95" s="69"/>
      <c r="AT95" s="69"/>
      <c r="AU95" s="21"/>
      <c r="AV95" s="69"/>
      <c r="AW95" s="69"/>
      <c r="AX95" s="69"/>
      <c r="AY95" s="69"/>
      <c r="AZ95" s="21"/>
      <c r="BA95" s="69"/>
    </row>
    <row r="96" spans="1:202">
      <c r="A96" s="69" t="s">
        <v>140</v>
      </c>
      <c r="B96" s="142">
        <v>2621</v>
      </c>
      <c r="C96" s="80" t="s">
        <v>53</v>
      </c>
      <c r="D96" s="80" t="s">
        <v>53</v>
      </c>
      <c r="E96" s="80" t="s">
        <v>53</v>
      </c>
      <c r="F96" s="80" t="s">
        <v>53</v>
      </c>
      <c r="G96" s="142">
        <v>2325</v>
      </c>
      <c r="H96" s="80" t="s">
        <v>53</v>
      </c>
      <c r="I96" s="80" t="s">
        <v>53</v>
      </c>
      <c r="J96" s="80" t="s">
        <v>53</v>
      </c>
      <c r="K96" s="80" t="s">
        <v>53</v>
      </c>
      <c r="L96" s="142">
        <v>2445</v>
      </c>
      <c r="M96" s="80" t="s">
        <v>53</v>
      </c>
      <c r="N96" s="80" t="s">
        <v>53</v>
      </c>
      <c r="O96" s="80" t="s">
        <v>53</v>
      </c>
      <c r="P96" s="80" t="s">
        <v>53</v>
      </c>
      <c r="Q96" s="142">
        <v>2112</v>
      </c>
      <c r="R96" s="120" t="s">
        <v>45</v>
      </c>
      <c r="S96" s="120" t="s">
        <v>45</v>
      </c>
      <c r="T96" s="120" t="s">
        <v>45</v>
      </c>
      <c r="U96" s="120" t="s">
        <v>45</v>
      </c>
      <c r="V96" s="142">
        <v>2262</v>
      </c>
      <c r="W96" s="120" t="s">
        <v>45</v>
      </c>
      <c r="X96" s="120" t="s">
        <v>45</v>
      </c>
      <c r="Y96" s="120" t="s">
        <v>45</v>
      </c>
      <c r="Z96" s="120" t="s">
        <v>45</v>
      </c>
      <c r="AA96" s="142">
        <v>2102</v>
      </c>
      <c r="AB96" s="120" t="s">
        <v>45</v>
      </c>
      <c r="AC96" s="120" t="s">
        <v>45</v>
      </c>
      <c r="AD96" s="120" t="s">
        <v>45</v>
      </c>
      <c r="AE96" s="120" t="s">
        <v>45</v>
      </c>
      <c r="AF96" s="142">
        <v>2007</v>
      </c>
      <c r="AG96" s="120" t="s">
        <v>45</v>
      </c>
      <c r="AH96" s="120" t="s">
        <v>45</v>
      </c>
      <c r="AI96" s="120" t="s">
        <v>45</v>
      </c>
      <c r="AJ96" s="70">
        <v>1932</v>
      </c>
      <c r="AK96" s="142">
        <v>1932</v>
      </c>
      <c r="AL96" s="120" t="s">
        <v>45</v>
      </c>
      <c r="AM96" s="120" t="s">
        <v>45</v>
      </c>
      <c r="AN96" s="120" t="s">
        <v>45</v>
      </c>
      <c r="AO96" s="70">
        <v>1966</v>
      </c>
      <c r="AP96" s="142">
        <v>1966</v>
      </c>
      <c r="AQ96" s="120" t="s">
        <v>45</v>
      </c>
      <c r="AR96" s="120" t="s">
        <v>45</v>
      </c>
      <c r="AS96" s="120" t="s">
        <v>45</v>
      </c>
      <c r="AT96" s="70">
        <v>1905</v>
      </c>
      <c r="AU96" s="142">
        <v>1905</v>
      </c>
      <c r="AV96" s="120" t="s">
        <v>45</v>
      </c>
      <c r="AW96" s="120" t="s">
        <v>45</v>
      </c>
      <c r="AX96" s="120" t="s">
        <v>45</v>
      </c>
      <c r="AY96" s="70">
        <v>1864</v>
      </c>
      <c r="AZ96" s="142">
        <v>1864</v>
      </c>
      <c r="BA96" s="120" t="s">
        <v>45</v>
      </c>
    </row>
    <row r="97" spans="1:202">
      <c r="A97" s="71" t="s">
        <v>7</v>
      </c>
      <c r="B97" s="24"/>
      <c r="C97" s="72"/>
      <c r="D97" s="72"/>
      <c r="E97" s="72"/>
      <c r="F97" s="72"/>
      <c r="G97" s="24"/>
      <c r="H97" s="72"/>
      <c r="I97" s="72"/>
      <c r="J97" s="72"/>
      <c r="K97" s="72"/>
      <c r="L97" s="27"/>
      <c r="M97" s="72"/>
      <c r="N97" s="72"/>
      <c r="O97" s="72"/>
      <c r="P97" s="72"/>
      <c r="Q97" s="27"/>
      <c r="R97" s="72"/>
      <c r="S97" s="72"/>
      <c r="T97" s="72"/>
      <c r="U97" s="72"/>
      <c r="V97" s="27"/>
      <c r="W97" s="72"/>
      <c r="X97" s="72"/>
      <c r="Y97" s="72"/>
      <c r="Z97" s="72"/>
      <c r="AA97" s="27"/>
      <c r="AB97" s="72"/>
      <c r="AC97" s="72"/>
      <c r="AD97" s="72"/>
      <c r="AE97" s="72"/>
      <c r="AF97" s="27"/>
      <c r="AG97" s="72"/>
      <c r="AH97" s="72"/>
      <c r="AI97" s="72"/>
      <c r="AJ97" s="70"/>
      <c r="AK97" s="27"/>
      <c r="AL97" s="72"/>
      <c r="AM97" s="72"/>
      <c r="AN97" s="72"/>
      <c r="AO97" s="72"/>
      <c r="AP97" s="27"/>
      <c r="AQ97" s="72"/>
      <c r="AR97" s="72"/>
      <c r="AS97" s="72"/>
      <c r="AT97" s="72"/>
      <c r="AU97" s="27"/>
      <c r="AV97" s="72"/>
      <c r="AW97" s="72"/>
      <c r="AX97" s="72"/>
      <c r="AY97" s="72"/>
      <c r="AZ97" s="27"/>
      <c r="BA97" s="72"/>
    </row>
    <row r="98" spans="1:202">
      <c r="A98" s="71" t="s">
        <v>8</v>
      </c>
      <c r="B98" s="24"/>
      <c r="C98" s="73"/>
      <c r="D98" s="73"/>
      <c r="E98" s="73"/>
      <c r="F98" s="73"/>
      <c r="G98" s="24">
        <v>-0.11293399465852727</v>
      </c>
      <c r="H98" s="73"/>
      <c r="I98" s="73"/>
      <c r="J98" s="73"/>
      <c r="K98" s="72"/>
      <c r="L98" s="24">
        <v>5.1612903225806361E-2</v>
      </c>
      <c r="M98" s="73"/>
      <c r="N98" s="73"/>
      <c r="O98" s="73"/>
      <c r="P98" s="72"/>
      <c r="Q98" s="24">
        <v>-0.1361963190184049</v>
      </c>
      <c r="R98" s="73"/>
      <c r="S98" s="73"/>
      <c r="T98" s="73"/>
      <c r="U98" s="72"/>
      <c r="V98" s="24">
        <v>7.1022727272727293E-2</v>
      </c>
      <c r="W98" s="73"/>
      <c r="X98" s="73"/>
      <c r="Y98" s="73"/>
      <c r="Z98" s="72"/>
      <c r="AA98" s="24">
        <v>-7.0733863837312061E-2</v>
      </c>
      <c r="AB98" s="73"/>
      <c r="AC98" s="73"/>
      <c r="AD98" s="73"/>
      <c r="AE98" s="72"/>
      <c r="AF98" s="24">
        <v>-4.5195052331113206E-2</v>
      </c>
      <c r="AG98" s="73"/>
      <c r="AH98" s="73"/>
      <c r="AI98" s="73"/>
      <c r="AJ98" s="72"/>
      <c r="AK98" s="24">
        <v>-3.7369207772795177E-2</v>
      </c>
      <c r="AL98" s="73"/>
      <c r="AM98" s="73"/>
      <c r="AN98" s="73"/>
      <c r="AO98" s="72"/>
      <c r="AP98" s="24">
        <v>1.7598343685300222E-2</v>
      </c>
      <c r="AQ98" s="73"/>
      <c r="AR98" s="73"/>
      <c r="AS98" s="73"/>
      <c r="AT98" s="72"/>
      <c r="AU98" s="24">
        <v>-3.1027466937945114E-2</v>
      </c>
      <c r="AV98" s="73"/>
      <c r="AW98" s="73"/>
      <c r="AX98" s="73"/>
      <c r="AY98" s="72"/>
      <c r="AZ98" s="24">
        <v>-2.1522309711286103E-2</v>
      </c>
      <c r="BA98" s="73"/>
    </row>
    <row r="99" spans="1:202" ht="3.75" customHeight="1">
      <c r="A99" s="71"/>
      <c r="B99" s="24"/>
      <c r="C99" s="73"/>
      <c r="D99" s="73"/>
      <c r="E99" s="73"/>
      <c r="F99" s="73"/>
      <c r="G99" s="24"/>
      <c r="H99" s="73"/>
      <c r="I99" s="73"/>
      <c r="J99" s="73"/>
      <c r="K99" s="72"/>
      <c r="L99" s="24"/>
      <c r="M99" s="73"/>
      <c r="N99" s="73"/>
      <c r="O99" s="73"/>
      <c r="P99" s="72"/>
      <c r="Q99" s="24"/>
      <c r="R99" s="73"/>
      <c r="S99" s="73"/>
      <c r="T99" s="73"/>
      <c r="U99" s="72"/>
      <c r="V99" s="24"/>
      <c r="W99" s="73"/>
      <c r="X99" s="73"/>
      <c r="Y99" s="73"/>
      <c r="Z99" s="72"/>
      <c r="AA99" s="24"/>
      <c r="AB99" s="73"/>
      <c r="AC99" s="73"/>
      <c r="AD99" s="73"/>
      <c r="AE99" s="72"/>
      <c r="AF99" s="24"/>
      <c r="AG99" s="73"/>
      <c r="AH99" s="73"/>
      <c r="AI99" s="73"/>
      <c r="AJ99" s="72"/>
      <c r="AK99" s="24"/>
      <c r="AL99" s="73"/>
      <c r="AM99" s="73"/>
      <c r="AN99" s="73"/>
      <c r="AO99" s="72"/>
      <c r="AP99" s="24"/>
      <c r="AQ99" s="73"/>
      <c r="AR99" s="73"/>
      <c r="AS99" s="73"/>
      <c r="AT99" s="72"/>
      <c r="AU99" s="24"/>
      <c r="AV99" s="73"/>
      <c r="AW99" s="73"/>
      <c r="AX99" s="73"/>
      <c r="AY99" s="72"/>
      <c r="AZ99" s="24"/>
      <c r="BA99" s="73"/>
    </row>
    <row r="100" spans="1:202" ht="3.75" customHeight="1">
      <c r="A100" s="71"/>
      <c r="B100" s="24"/>
      <c r="C100" s="73"/>
      <c r="D100" s="73"/>
      <c r="E100" s="73"/>
      <c r="F100" s="73"/>
      <c r="G100" s="24"/>
      <c r="H100" s="73"/>
      <c r="I100" s="73"/>
      <c r="J100" s="73"/>
      <c r="K100" s="72"/>
      <c r="L100" s="24"/>
      <c r="M100" s="73"/>
      <c r="N100" s="73"/>
      <c r="O100" s="73"/>
      <c r="P100" s="72"/>
      <c r="Q100" s="24"/>
      <c r="R100" s="73"/>
      <c r="S100" s="73"/>
      <c r="T100" s="73"/>
      <c r="U100" s="72"/>
      <c r="V100" s="24"/>
      <c r="W100" s="73"/>
      <c r="X100" s="73"/>
      <c r="Y100" s="73"/>
      <c r="Z100" s="72"/>
      <c r="AA100" s="24"/>
      <c r="AB100" s="73"/>
      <c r="AC100" s="73"/>
      <c r="AD100" s="73"/>
      <c r="AE100" s="72"/>
      <c r="AF100" s="24"/>
      <c r="AG100" s="73"/>
      <c r="AH100" s="73"/>
      <c r="AI100" s="73"/>
      <c r="AJ100" s="72"/>
      <c r="AK100" s="24"/>
      <c r="AL100" s="73"/>
      <c r="AM100" s="73"/>
      <c r="AN100" s="73"/>
      <c r="AO100" s="72"/>
      <c r="AP100" s="24"/>
      <c r="AQ100" s="73"/>
      <c r="AR100" s="73"/>
      <c r="AS100" s="73"/>
      <c r="AT100" s="72"/>
      <c r="AU100" s="24"/>
      <c r="AV100" s="73"/>
      <c r="AW100" s="73"/>
      <c r="AX100" s="73"/>
      <c r="AY100" s="72"/>
      <c r="AZ100" s="24"/>
      <c r="BA100" s="73"/>
    </row>
    <row r="101" spans="1:202">
      <c r="A101" s="69" t="s">
        <v>173</v>
      </c>
      <c r="B101" s="99" t="s">
        <v>53</v>
      </c>
      <c r="C101" s="80" t="s">
        <v>53</v>
      </c>
      <c r="D101" s="80" t="s">
        <v>53</v>
      </c>
      <c r="E101" s="80" t="s">
        <v>53</v>
      </c>
      <c r="F101" s="80" t="s">
        <v>53</v>
      </c>
      <c r="G101" s="99" t="s">
        <v>53</v>
      </c>
      <c r="H101" s="78">
        <v>3.9E-2</v>
      </c>
      <c r="I101" s="78">
        <v>3.5999999999999997E-2</v>
      </c>
      <c r="J101" s="78">
        <v>3.4000000000000002E-2</v>
      </c>
      <c r="K101" s="78">
        <v>3.9E-2</v>
      </c>
      <c r="L101" s="39">
        <v>0.14799999999999999</v>
      </c>
      <c r="M101" s="78">
        <v>3.2000000000000001E-2</v>
      </c>
      <c r="N101" s="78">
        <v>2.9000000000000001E-2</v>
      </c>
      <c r="O101" s="78">
        <v>3.2000000000000001E-2</v>
      </c>
      <c r="P101" s="78">
        <v>3.5000000000000003E-2</v>
      </c>
      <c r="Q101" s="39">
        <v>0.127</v>
      </c>
      <c r="R101" s="78">
        <v>2.9000000000000001E-2</v>
      </c>
      <c r="S101" s="78">
        <v>2.8000000000000001E-2</v>
      </c>
      <c r="T101" s="78">
        <v>3.2000000000000001E-2</v>
      </c>
      <c r="U101" s="78">
        <v>3.6999999999999998E-2</v>
      </c>
      <c r="V101" s="39">
        <v>0.126</v>
      </c>
      <c r="W101" s="78">
        <v>4.2999999999999997E-2</v>
      </c>
      <c r="X101" s="78">
        <v>4.1000000000000002E-2</v>
      </c>
      <c r="Y101" s="78">
        <v>4.5999999999999999E-2</v>
      </c>
      <c r="Z101" s="78">
        <v>5.5E-2</v>
      </c>
      <c r="AA101" s="39">
        <v>0.184</v>
      </c>
      <c r="AB101" s="78">
        <v>4.2000000000000003E-2</v>
      </c>
      <c r="AC101" s="78">
        <v>4.4999999999999998E-2</v>
      </c>
      <c r="AD101" s="78">
        <v>4.7E-2</v>
      </c>
      <c r="AE101" s="78">
        <v>4.5999999999999999E-2</v>
      </c>
      <c r="AF101" s="39">
        <v>0.18</v>
      </c>
      <c r="AG101" s="78">
        <v>0.04</v>
      </c>
      <c r="AH101" s="78">
        <v>3.6999999999999998E-2</v>
      </c>
      <c r="AI101" s="78">
        <v>4.4999999999999998E-2</v>
      </c>
      <c r="AJ101" s="78">
        <v>4.7E-2</v>
      </c>
      <c r="AK101" s="39">
        <v>0.17</v>
      </c>
      <c r="AL101" s="78">
        <v>4.1000000000000002E-2</v>
      </c>
      <c r="AM101" s="125">
        <v>4.2000000000000003E-2</v>
      </c>
      <c r="AN101" s="78">
        <v>4.3999999999999997E-2</v>
      </c>
      <c r="AO101" s="78">
        <v>4.5999999999999999E-2</v>
      </c>
      <c r="AP101" s="39">
        <v>0.17299999999999999</v>
      </c>
      <c r="AQ101" s="78">
        <v>5.1999999999999998E-2</v>
      </c>
      <c r="AR101" s="125">
        <v>4.4999999999999998E-2</v>
      </c>
      <c r="AS101" s="125">
        <v>5.5E-2</v>
      </c>
      <c r="AT101" s="90">
        <v>5.1999999999999998E-2</v>
      </c>
      <c r="AU101" s="39">
        <v>0.20399999999999999</v>
      </c>
      <c r="AV101" s="78">
        <v>5.2999999999999999E-2</v>
      </c>
      <c r="AW101" s="78">
        <v>0.05</v>
      </c>
      <c r="AX101" s="78">
        <v>6.3E-2</v>
      </c>
      <c r="AY101" s="90">
        <v>6.8000000000000005E-2</v>
      </c>
      <c r="AZ101" s="39">
        <v>0.23400000000000001</v>
      </c>
      <c r="BA101" s="78">
        <v>0.06</v>
      </c>
    </row>
    <row r="102" spans="1:202" ht="6" customHeight="1">
      <c r="A102" s="69"/>
      <c r="B102" s="99"/>
      <c r="C102" s="80"/>
      <c r="D102" s="80"/>
      <c r="E102" s="80"/>
      <c r="F102" s="80"/>
      <c r="G102" s="99"/>
      <c r="H102" s="78"/>
      <c r="I102" s="78"/>
      <c r="J102" s="78"/>
      <c r="K102" s="78"/>
      <c r="L102" s="39"/>
      <c r="M102" s="78"/>
      <c r="N102" s="78"/>
      <c r="O102" s="78"/>
      <c r="P102" s="78"/>
      <c r="Q102" s="39"/>
      <c r="R102" s="78"/>
      <c r="S102" s="78"/>
      <c r="T102" s="78"/>
      <c r="U102" s="78"/>
      <c r="V102" s="39"/>
      <c r="W102" s="78"/>
      <c r="X102" s="78"/>
      <c r="Y102" s="78"/>
      <c r="Z102" s="78"/>
      <c r="AA102" s="39"/>
      <c r="AB102" s="78"/>
      <c r="AC102" s="78"/>
      <c r="AD102" s="78"/>
      <c r="AE102" s="78"/>
      <c r="AF102" s="39"/>
      <c r="AG102" s="78"/>
      <c r="AH102" s="78"/>
      <c r="AI102" s="78"/>
      <c r="AJ102" s="78"/>
      <c r="AK102" s="39"/>
      <c r="AL102" s="78"/>
      <c r="AM102" s="78"/>
      <c r="AN102" s="78"/>
      <c r="AO102" s="78"/>
      <c r="AP102" s="39"/>
      <c r="AQ102" s="78"/>
      <c r="AR102" s="78"/>
      <c r="AS102" s="78"/>
      <c r="AT102" s="78"/>
      <c r="AU102" s="39"/>
      <c r="AV102" s="78"/>
      <c r="AW102" s="78"/>
      <c r="AX102" s="78"/>
      <c r="AY102" s="78"/>
      <c r="AZ102" s="39"/>
      <c r="BA102" s="78"/>
    </row>
    <row r="103" spans="1:202" ht="12" customHeight="1">
      <c r="A103" s="69" t="s">
        <v>163</v>
      </c>
      <c r="B103" s="143">
        <v>0.36</v>
      </c>
      <c r="C103" s="143"/>
      <c r="D103" s="143"/>
      <c r="E103" s="143"/>
      <c r="F103" s="143"/>
      <c r="G103" s="143">
        <v>0.36</v>
      </c>
      <c r="H103" s="143"/>
      <c r="I103" s="143"/>
      <c r="J103" s="143"/>
      <c r="K103" s="143"/>
      <c r="L103" s="143">
        <v>0.36</v>
      </c>
      <c r="M103" s="143"/>
      <c r="N103" s="143"/>
      <c r="O103" s="143"/>
      <c r="P103" s="143"/>
      <c r="Q103" s="143">
        <v>0.35899999999999999</v>
      </c>
      <c r="R103" s="143"/>
      <c r="S103" s="143"/>
      <c r="T103" s="143"/>
      <c r="U103" s="143"/>
      <c r="V103" s="143">
        <v>0.375</v>
      </c>
      <c r="W103" s="143"/>
      <c r="X103" s="143"/>
      <c r="Y103" s="143"/>
      <c r="Z103" s="143"/>
      <c r="AA103" s="143">
        <v>0.38800000000000001</v>
      </c>
      <c r="AB103" s="143"/>
      <c r="AC103" s="143"/>
      <c r="AD103" s="143"/>
      <c r="AE103" s="143"/>
      <c r="AF103" s="143">
        <v>0.40600000000000003</v>
      </c>
      <c r="AG103" s="120" t="s">
        <v>45</v>
      </c>
      <c r="AH103" s="120" t="s">
        <v>45</v>
      </c>
      <c r="AI103" s="120" t="s">
        <v>45</v>
      </c>
      <c r="AJ103" s="120" t="s">
        <v>45</v>
      </c>
      <c r="AK103" s="167">
        <v>0.42</v>
      </c>
      <c r="AL103" s="120" t="s">
        <v>45</v>
      </c>
      <c r="AM103" s="120" t="s">
        <v>45</v>
      </c>
      <c r="AN103" s="120" t="s">
        <v>45</v>
      </c>
      <c r="AO103" s="120" t="s">
        <v>45</v>
      </c>
      <c r="AP103" s="167">
        <v>0.44</v>
      </c>
      <c r="AQ103" s="120" t="s">
        <v>45</v>
      </c>
      <c r="AR103" s="120" t="s">
        <v>45</v>
      </c>
      <c r="AS103" s="120" t="s">
        <v>45</v>
      </c>
      <c r="AT103" s="120" t="s">
        <v>45</v>
      </c>
      <c r="AU103" s="167">
        <v>0.44</v>
      </c>
      <c r="AV103" s="120" t="s">
        <v>45</v>
      </c>
      <c r="AW103" s="120" t="s">
        <v>45</v>
      </c>
      <c r="AX103" s="78">
        <v>0.42099999999999999</v>
      </c>
      <c r="AY103" s="120" t="s">
        <v>45</v>
      </c>
      <c r="AZ103" s="221" t="s">
        <v>45</v>
      </c>
      <c r="BA103" s="120" t="s">
        <v>45</v>
      </c>
    </row>
    <row r="104" spans="1:202" ht="3.75" customHeight="1">
      <c r="A104" s="69"/>
      <c r="B104" s="143"/>
      <c r="C104" s="143"/>
      <c r="D104" s="143"/>
      <c r="E104" s="143"/>
      <c r="F104" s="143"/>
      <c r="G104" s="143"/>
      <c r="H104" s="143"/>
      <c r="I104" s="143"/>
      <c r="J104" s="143"/>
      <c r="K104" s="143"/>
      <c r="L104" s="143"/>
      <c r="M104" s="143"/>
      <c r="N104" s="143"/>
      <c r="O104" s="143"/>
      <c r="P104" s="143"/>
      <c r="Q104" s="143"/>
      <c r="R104" s="143"/>
      <c r="S104" s="143"/>
      <c r="T104" s="143"/>
      <c r="U104" s="143"/>
      <c r="V104" s="143"/>
      <c r="W104" s="143"/>
      <c r="X104" s="143"/>
      <c r="Y104" s="143"/>
      <c r="Z104" s="143"/>
      <c r="AA104" s="143"/>
      <c r="AB104" s="143"/>
      <c r="AC104" s="143"/>
      <c r="AD104" s="143"/>
      <c r="AE104" s="143"/>
      <c r="AF104" s="143"/>
      <c r="AG104" s="120"/>
      <c r="AH104" s="120"/>
      <c r="AI104" s="120"/>
      <c r="AJ104" s="120"/>
      <c r="AK104" s="167"/>
      <c r="AL104" s="120"/>
      <c r="AM104" s="120"/>
      <c r="AN104" s="120"/>
      <c r="AO104" s="120"/>
      <c r="AP104" s="167"/>
      <c r="AQ104" s="120"/>
      <c r="AR104" s="120"/>
      <c r="AS104" s="120"/>
      <c r="AT104" s="120"/>
      <c r="AU104" s="167"/>
      <c r="AV104" s="120"/>
      <c r="AW104" s="120"/>
      <c r="AX104" s="120"/>
      <c r="AY104" s="120"/>
      <c r="AZ104" s="167"/>
      <c r="BA104" s="120"/>
    </row>
    <row r="105" spans="1:202">
      <c r="A105" s="69" t="s">
        <v>164</v>
      </c>
      <c r="B105" s="143">
        <v>0.36</v>
      </c>
      <c r="C105" s="143"/>
      <c r="D105" s="143"/>
      <c r="E105" s="143"/>
      <c r="F105" s="143"/>
      <c r="G105" s="143">
        <v>0.36</v>
      </c>
      <c r="H105" s="143"/>
      <c r="I105" s="143"/>
      <c r="J105" s="143"/>
      <c r="K105" s="143"/>
      <c r="L105" s="143">
        <v>0.31</v>
      </c>
      <c r="M105" s="143"/>
      <c r="N105" s="143"/>
      <c r="O105" s="143"/>
      <c r="P105" s="143"/>
      <c r="Q105" s="143">
        <v>0.307</v>
      </c>
      <c r="R105" s="143"/>
      <c r="S105" s="143"/>
      <c r="T105" s="143"/>
      <c r="U105" s="143"/>
      <c r="V105" s="143">
        <v>0.3</v>
      </c>
      <c r="W105" s="143"/>
      <c r="X105" s="143"/>
      <c r="Y105" s="143"/>
      <c r="Z105" s="143"/>
      <c r="AA105" s="143">
        <v>0.246</v>
      </c>
      <c r="AB105" s="143"/>
      <c r="AC105" s="143"/>
      <c r="AD105" s="143"/>
      <c r="AE105" s="143"/>
      <c r="AF105" s="143">
        <v>0.21199999999999999</v>
      </c>
      <c r="AG105" s="120" t="s">
        <v>45</v>
      </c>
      <c r="AH105" s="120" t="s">
        <v>45</v>
      </c>
      <c r="AI105" s="120" t="s">
        <v>45</v>
      </c>
      <c r="AJ105" s="120" t="s">
        <v>45</v>
      </c>
      <c r="AK105" s="167">
        <v>0.23</v>
      </c>
      <c r="AL105" s="120" t="s">
        <v>45</v>
      </c>
      <c r="AM105" s="120" t="s">
        <v>45</v>
      </c>
      <c r="AN105" s="120" t="s">
        <v>45</v>
      </c>
      <c r="AO105" s="120" t="s">
        <v>45</v>
      </c>
      <c r="AP105" s="167">
        <v>0.21</v>
      </c>
      <c r="AQ105" s="120" t="s">
        <v>45</v>
      </c>
      <c r="AR105" s="120" t="s">
        <v>45</v>
      </c>
      <c r="AS105" s="120" t="s">
        <v>45</v>
      </c>
      <c r="AT105" s="120" t="s">
        <v>45</v>
      </c>
      <c r="AU105" s="167">
        <v>0.21</v>
      </c>
      <c r="AV105" s="120" t="s">
        <v>45</v>
      </c>
      <c r="AW105" s="120" t="s">
        <v>45</v>
      </c>
      <c r="AX105" s="120" t="s">
        <v>45</v>
      </c>
      <c r="AY105" s="120" t="s">
        <v>45</v>
      </c>
      <c r="AZ105" s="143">
        <v>0.25600000000000001</v>
      </c>
      <c r="BA105" s="120" t="s">
        <v>45</v>
      </c>
    </row>
    <row r="106" spans="1:202" s="46" customFormat="1" ht="3.75" customHeight="1">
      <c r="A106" s="94"/>
      <c r="BB106" s="25"/>
      <c r="BC106" s="25"/>
      <c r="BD106" s="25"/>
      <c r="BE106" s="25"/>
      <c r="BF106" s="25"/>
      <c r="BG106" s="25"/>
      <c r="BH106" s="25"/>
      <c r="BI106" s="25"/>
      <c r="BJ106" s="25"/>
      <c r="BK106" s="25"/>
      <c r="BL106" s="25"/>
      <c r="BM106" s="25"/>
      <c r="BN106" s="25"/>
      <c r="BO106" s="25"/>
      <c r="BP106" s="25"/>
      <c r="BQ106" s="25"/>
      <c r="BR106" s="25"/>
      <c r="BS106" s="25"/>
      <c r="BT106" s="25"/>
      <c r="BU106" s="25"/>
      <c r="BV106" s="25"/>
      <c r="BW106" s="25"/>
      <c r="BX106" s="25"/>
      <c r="BY106" s="25"/>
      <c r="BZ106" s="25"/>
      <c r="CA106" s="25"/>
      <c r="CB106" s="25"/>
      <c r="CC106" s="25"/>
      <c r="CD106" s="25"/>
      <c r="CE106" s="25"/>
      <c r="CF106" s="25"/>
      <c r="CG106" s="25"/>
      <c r="CH106" s="25"/>
      <c r="CI106" s="25"/>
      <c r="CJ106" s="25"/>
      <c r="CK106" s="25"/>
      <c r="CL106" s="25"/>
      <c r="CM106" s="25"/>
      <c r="CN106" s="25"/>
      <c r="CO106" s="25"/>
      <c r="CP106" s="25"/>
      <c r="CQ106" s="25"/>
      <c r="CR106" s="25"/>
      <c r="CS106" s="25"/>
      <c r="CT106" s="25"/>
      <c r="CU106" s="25"/>
      <c r="CV106" s="25"/>
      <c r="CW106" s="25"/>
      <c r="CX106" s="25"/>
      <c r="CY106" s="25"/>
      <c r="CZ106" s="25"/>
      <c r="DA106" s="25"/>
      <c r="DB106" s="25"/>
      <c r="DC106" s="25"/>
      <c r="DD106" s="25"/>
      <c r="DE106" s="25"/>
      <c r="DF106" s="25"/>
      <c r="DG106" s="25"/>
      <c r="DH106" s="25"/>
      <c r="DI106" s="25"/>
      <c r="DJ106" s="25"/>
      <c r="DK106" s="25"/>
      <c r="DL106" s="25"/>
      <c r="DM106" s="25"/>
      <c r="DN106" s="25"/>
      <c r="DO106" s="25"/>
      <c r="DP106" s="25"/>
      <c r="DQ106" s="25"/>
      <c r="DR106" s="25"/>
      <c r="DS106" s="25"/>
      <c r="DT106" s="25"/>
      <c r="DU106" s="25"/>
      <c r="DV106" s="25"/>
      <c r="DW106" s="25"/>
      <c r="DX106" s="25"/>
      <c r="DY106" s="25"/>
      <c r="DZ106" s="25"/>
      <c r="EA106" s="25"/>
      <c r="EB106" s="25"/>
      <c r="EC106" s="25"/>
      <c r="ED106" s="25"/>
      <c r="EE106" s="25"/>
      <c r="EF106" s="25"/>
      <c r="EG106" s="25"/>
      <c r="EH106" s="25"/>
      <c r="EI106" s="25"/>
      <c r="EJ106" s="25"/>
      <c r="EK106" s="25"/>
      <c r="EL106" s="25"/>
      <c r="EM106" s="25"/>
      <c r="EN106" s="25"/>
      <c r="EO106" s="25"/>
      <c r="EP106" s="25"/>
      <c r="EQ106" s="25"/>
      <c r="ER106" s="25"/>
      <c r="ES106" s="25"/>
      <c r="ET106" s="25"/>
      <c r="EU106" s="25"/>
      <c r="EV106" s="25"/>
      <c r="EW106" s="25"/>
      <c r="EX106" s="25"/>
      <c r="EY106" s="25"/>
      <c r="EZ106" s="25"/>
      <c r="FA106" s="25"/>
      <c r="FB106" s="25"/>
      <c r="FC106" s="25"/>
      <c r="FD106" s="25"/>
      <c r="FE106" s="25"/>
      <c r="FF106" s="25"/>
      <c r="FG106" s="25"/>
      <c r="FH106" s="25"/>
      <c r="FI106" s="25"/>
      <c r="FJ106" s="25"/>
      <c r="FK106" s="25"/>
      <c r="FL106" s="25"/>
      <c r="FM106" s="25"/>
      <c r="FN106" s="25"/>
      <c r="FO106" s="25"/>
      <c r="FP106" s="25"/>
      <c r="FQ106" s="25"/>
      <c r="FR106" s="25"/>
      <c r="FS106" s="25"/>
      <c r="FT106" s="25"/>
      <c r="FU106" s="25"/>
      <c r="FV106" s="25"/>
      <c r="FW106" s="25"/>
      <c r="FX106" s="25"/>
      <c r="FY106" s="25"/>
      <c r="FZ106" s="25"/>
      <c r="GA106" s="25"/>
      <c r="GB106" s="25"/>
      <c r="GC106" s="25"/>
      <c r="GD106" s="25"/>
      <c r="GE106" s="25"/>
      <c r="GF106" s="25"/>
      <c r="GG106" s="25"/>
      <c r="GH106" s="25"/>
      <c r="GI106" s="25"/>
      <c r="GJ106" s="25"/>
      <c r="GK106" s="25"/>
      <c r="GL106" s="25"/>
      <c r="GM106" s="25"/>
      <c r="GN106" s="25"/>
      <c r="GO106" s="25"/>
      <c r="GP106" s="25"/>
      <c r="GQ106" s="25"/>
      <c r="GR106" s="25"/>
      <c r="GS106" s="25"/>
      <c r="GT106" s="25"/>
    </row>
    <row r="107" spans="1:202" s="26" customFormat="1" ht="20.25">
      <c r="A107" s="35" t="s">
        <v>21</v>
      </c>
      <c r="B107" s="23"/>
      <c r="C107" s="23"/>
      <c r="D107" s="23"/>
      <c r="E107" s="23"/>
      <c r="F107" s="23"/>
      <c r="G107" s="23"/>
      <c r="H107" s="23"/>
      <c r="I107" s="23"/>
      <c r="J107" s="23"/>
      <c r="K107" s="23"/>
      <c r="L107" s="23"/>
      <c r="M107" s="23"/>
      <c r="N107" s="23"/>
      <c r="O107" s="23"/>
      <c r="P107" s="23"/>
      <c r="Q107" s="23"/>
      <c r="R107" s="23"/>
      <c r="S107" s="23"/>
      <c r="T107" s="23"/>
      <c r="U107" s="23"/>
      <c r="V107" s="23"/>
      <c r="W107" s="23"/>
      <c r="X107" s="23"/>
      <c r="Y107" s="23"/>
      <c r="Z107" s="23"/>
      <c r="AA107" s="23"/>
      <c r="AB107" s="23"/>
      <c r="AC107" s="23"/>
      <c r="AD107" s="23"/>
      <c r="AE107" s="23"/>
      <c r="AF107" s="23"/>
      <c r="AG107" s="23"/>
      <c r="AH107" s="23"/>
      <c r="AI107" s="23"/>
      <c r="AJ107" s="23"/>
      <c r="AK107" s="23"/>
      <c r="AL107" s="23"/>
      <c r="AM107" s="23"/>
      <c r="AN107" s="23"/>
      <c r="AO107" s="23"/>
      <c r="AP107" s="23"/>
      <c r="AQ107" s="23"/>
      <c r="AR107" s="23"/>
      <c r="AS107" s="23"/>
      <c r="AT107" s="23"/>
      <c r="AU107" s="23"/>
      <c r="AV107" s="23"/>
      <c r="AW107" s="23"/>
      <c r="AX107" s="23"/>
      <c r="AY107" s="23"/>
      <c r="AZ107" s="23"/>
      <c r="BA107" s="23"/>
      <c r="BB107" s="25"/>
      <c r="BC107" s="25"/>
      <c r="BD107" s="25"/>
      <c r="BE107" s="25"/>
      <c r="BF107" s="25"/>
      <c r="BG107" s="25"/>
      <c r="BH107" s="25"/>
      <c r="BI107" s="25"/>
      <c r="BJ107" s="25"/>
      <c r="BK107" s="25"/>
      <c r="BL107" s="25"/>
      <c r="BM107" s="25"/>
      <c r="BN107" s="25"/>
      <c r="BO107" s="25"/>
      <c r="BP107" s="25"/>
      <c r="BQ107" s="25"/>
      <c r="BR107" s="25"/>
      <c r="BS107" s="25"/>
      <c r="BT107" s="25"/>
      <c r="BU107" s="25"/>
      <c r="BV107" s="25"/>
      <c r="BW107" s="25"/>
      <c r="BX107" s="25"/>
      <c r="BY107" s="25"/>
      <c r="BZ107" s="25"/>
      <c r="CA107" s="25"/>
      <c r="CB107" s="25"/>
      <c r="CC107" s="25"/>
      <c r="CD107" s="25"/>
      <c r="CE107" s="25"/>
      <c r="CF107" s="25"/>
      <c r="CG107" s="25"/>
      <c r="CH107" s="25"/>
      <c r="CI107" s="25"/>
      <c r="CJ107" s="25"/>
      <c r="CK107" s="25"/>
      <c r="CL107" s="25"/>
      <c r="CM107" s="25"/>
      <c r="CN107" s="25"/>
      <c r="CO107" s="25"/>
      <c r="CP107" s="25"/>
      <c r="CQ107" s="25"/>
      <c r="CR107" s="25"/>
      <c r="CS107" s="25"/>
      <c r="CT107" s="25"/>
      <c r="CU107" s="25"/>
      <c r="CV107" s="25"/>
      <c r="CW107" s="25"/>
      <c r="CX107" s="25"/>
      <c r="CY107" s="25"/>
      <c r="CZ107" s="25"/>
      <c r="DA107" s="25"/>
      <c r="DB107" s="25"/>
      <c r="DC107" s="25"/>
      <c r="DD107" s="25"/>
      <c r="DE107" s="25"/>
      <c r="DF107" s="25"/>
      <c r="DG107" s="25"/>
      <c r="DH107" s="25"/>
      <c r="DI107" s="25"/>
      <c r="DJ107" s="25"/>
      <c r="DK107" s="25"/>
      <c r="DL107" s="25"/>
      <c r="DM107" s="25"/>
      <c r="DN107" s="25"/>
      <c r="DO107" s="25"/>
      <c r="DP107" s="25"/>
      <c r="DQ107" s="25"/>
      <c r="DR107" s="25"/>
      <c r="DS107" s="25"/>
      <c r="DT107" s="25"/>
      <c r="DU107" s="25"/>
      <c r="DV107" s="25"/>
      <c r="DW107" s="25"/>
      <c r="DX107" s="25"/>
      <c r="DY107" s="25"/>
      <c r="DZ107" s="25"/>
      <c r="EA107" s="25"/>
      <c r="EB107" s="25"/>
      <c r="EC107" s="25"/>
      <c r="ED107" s="25"/>
      <c r="EE107" s="25"/>
      <c r="EF107" s="25"/>
      <c r="EG107" s="25"/>
      <c r="EH107" s="25"/>
      <c r="EI107" s="25"/>
      <c r="EJ107" s="25"/>
      <c r="EK107" s="25"/>
      <c r="EL107" s="25"/>
      <c r="EM107" s="25"/>
      <c r="EN107" s="25"/>
      <c r="EO107" s="25"/>
      <c r="EP107" s="25"/>
      <c r="EQ107" s="25"/>
      <c r="ER107" s="25"/>
      <c r="ES107" s="25"/>
      <c r="ET107" s="25"/>
      <c r="EU107" s="25"/>
      <c r="EV107" s="25"/>
      <c r="EW107" s="25"/>
      <c r="EX107" s="25"/>
      <c r="EY107" s="25"/>
      <c r="EZ107" s="25"/>
      <c r="FA107" s="25"/>
      <c r="FB107" s="25"/>
      <c r="FC107" s="25"/>
      <c r="FD107" s="25"/>
      <c r="FE107" s="25"/>
      <c r="FF107" s="25"/>
      <c r="FG107" s="25"/>
      <c r="FH107" s="25"/>
      <c r="FI107" s="25"/>
      <c r="FJ107" s="25"/>
      <c r="FK107" s="25"/>
      <c r="FL107" s="25"/>
      <c r="FM107" s="25"/>
      <c r="FN107" s="25"/>
      <c r="FO107" s="25"/>
      <c r="FP107" s="25"/>
      <c r="FQ107" s="25"/>
      <c r="FR107" s="25"/>
      <c r="FS107" s="25"/>
      <c r="FT107" s="25"/>
      <c r="FU107" s="25"/>
      <c r="FV107" s="25"/>
      <c r="FW107" s="25"/>
      <c r="FX107" s="25"/>
      <c r="FY107" s="25"/>
      <c r="FZ107" s="25"/>
      <c r="GA107" s="25"/>
      <c r="GB107" s="25"/>
      <c r="GC107" s="25"/>
      <c r="GD107" s="25"/>
      <c r="GE107" s="25"/>
      <c r="GF107" s="25"/>
      <c r="GG107" s="25"/>
      <c r="GH107" s="25"/>
      <c r="GI107" s="25"/>
      <c r="GJ107" s="25"/>
      <c r="GK107" s="25"/>
      <c r="GL107" s="25"/>
      <c r="GM107" s="25"/>
      <c r="GN107" s="25"/>
      <c r="GO107" s="25"/>
      <c r="GP107" s="25"/>
      <c r="GQ107" s="25"/>
      <c r="GR107" s="25"/>
      <c r="GS107" s="25"/>
      <c r="GT107" s="25"/>
    </row>
    <row r="108" spans="1:202">
      <c r="A108" s="22"/>
      <c r="B108" s="22"/>
      <c r="C108" s="22"/>
      <c r="D108" s="22"/>
      <c r="E108" s="22"/>
      <c r="F108" s="22"/>
      <c r="G108" s="22"/>
      <c r="H108" s="22"/>
      <c r="I108" s="22"/>
      <c r="J108" s="22"/>
      <c r="K108" s="22"/>
      <c r="L108" s="22"/>
      <c r="M108" s="22"/>
      <c r="N108" s="22"/>
      <c r="O108" s="22"/>
      <c r="P108" s="22"/>
      <c r="Q108" s="22"/>
      <c r="R108" s="22"/>
      <c r="S108" s="22"/>
      <c r="T108" s="22"/>
      <c r="U108" s="22"/>
      <c r="V108" s="22"/>
      <c r="W108" s="22"/>
      <c r="X108" s="22"/>
      <c r="Y108" s="22"/>
      <c r="Z108" s="22"/>
      <c r="AA108" s="22"/>
      <c r="AB108" s="22"/>
      <c r="AC108" s="22"/>
      <c r="AD108" s="22"/>
      <c r="AE108" s="22"/>
      <c r="AF108" s="22"/>
      <c r="AG108" s="22"/>
      <c r="AH108" s="22"/>
      <c r="AI108" s="22"/>
      <c r="AJ108" s="22"/>
      <c r="AK108" s="22"/>
      <c r="AL108" s="22"/>
      <c r="AM108" s="22"/>
      <c r="AN108" s="22"/>
      <c r="AO108" s="22"/>
      <c r="AP108" s="22"/>
      <c r="AQ108" s="22"/>
      <c r="AR108" s="22"/>
      <c r="AS108" s="22"/>
      <c r="AT108" s="22"/>
      <c r="AU108" s="22"/>
      <c r="AV108" s="22"/>
      <c r="AW108" s="22"/>
      <c r="AX108" s="22"/>
      <c r="AY108" s="22"/>
      <c r="AZ108" s="22"/>
      <c r="BA108" s="22"/>
    </row>
    <row r="109" spans="1:202" s="43" customFormat="1" ht="12" customHeight="1">
      <c r="A109" s="40" t="s">
        <v>27</v>
      </c>
      <c r="B109" s="41"/>
      <c r="C109" s="42"/>
      <c r="D109" s="42"/>
      <c r="E109" s="42"/>
      <c r="F109" s="42"/>
      <c r="G109" s="41"/>
      <c r="H109" s="42"/>
      <c r="I109" s="42"/>
      <c r="J109" s="42"/>
      <c r="K109" s="42"/>
      <c r="L109" s="42"/>
      <c r="M109" s="42"/>
      <c r="N109" s="42"/>
      <c r="O109" s="42"/>
      <c r="P109" s="42"/>
      <c r="Q109" s="42"/>
      <c r="R109" s="42"/>
      <c r="S109" s="42"/>
      <c r="T109" s="42"/>
      <c r="U109" s="42"/>
      <c r="V109" s="42"/>
      <c r="W109" s="42"/>
      <c r="X109" s="42"/>
      <c r="Y109" s="42"/>
      <c r="Z109" s="42"/>
      <c r="AA109" s="42"/>
      <c r="AB109" s="42"/>
      <c r="AC109" s="42"/>
      <c r="AD109" s="42"/>
      <c r="AE109" s="42"/>
      <c r="AF109" s="42"/>
      <c r="AG109" s="42"/>
      <c r="AH109" s="42"/>
      <c r="AI109" s="42"/>
      <c r="AJ109" s="42"/>
      <c r="AK109" s="42"/>
      <c r="AL109" s="42"/>
      <c r="AM109" s="42"/>
      <c r="AN109" s="42"/>
      <c r="AO109" s="42"/>
      <c r="AP109" s="42"/>
      <c r="AQ109" s="42"/>
      <c r="AR109" s="42"/>
      <c r="AS109" s="42"/>
      <c r="AT109" s="42"/>
      <c r="AU109" s="42"/>
      <c r="AV109" s="42"/>
      <c r="AW109" s="42"/>
      <c r="AX109" s="42"/>
      <c r="AY109" s="42"/>
      <c r="AZ109" s="42"/>
      <c r="BA109" s="42"/>
      <c r="BB109" s="1"/>
      <c r="BC109" s="1"/>
      <c r="BD109" s="1"/>
      <c r="BE109" s="1"/>
      <c r="BF109" s="1"/>
      <c r="BG109" s="1"/>
      <c r="BH109" s="1"/>
      <c r="BI109" s="4"/>
      <c r="BJ109" s="4"/>
      <c r="BK109" s="4"/>
      <c r="BL109" s="4"/>
      <c r="BM109" s="4"/>
      <c r="BN109" s="4"/>
      <c r="BO109" s="4"/>
      <c r="BP109" s="4"/>
      <c r="BQ109" s="4"/>
      <c r="BR109" s="4"/>
      <c r="BS109" s="4"/>
      <c r="BT109" s="4"/>
      <c r="BU109" s="4"/>
      <c r="BV109" s="4"/>
      <c r="BW109" s="4"/>
      <c r="BX109" s="4"/>
      <c r="BY109" s="4"/>
      <c r="BZ109" s="4"/>
      <c r="CA109" s="4"/>
      <c r="CB109" s="4"/>
      <c r="CC109" s="4"/>
      <c r="CD109" s="4"/>
      <c r="CE109" s="4"/>
      <c r="CF109" s="4"/>
      <c r="CG109" s="4"/>
      <c r="CH109" s="4"/>
      <c r="CI109" s="4"/>
      <c r="CJ109" s="4"/>
      <c r="CK109" s="4"/>
      <c r="CL109" s="4"/>
      <c r="CM109" s="4"/>
      <c r="CN109" s="4"/>
      <c r="CO109" s="4"/>
      <c r="CP109" s="4"/>
      <c r="CQ109" s="4"/>
      <c r="CR109" s="4"/>
      <c r="CS109" s="4"/>
      <c r="CT109" s="4"/>
      <c r="CU109" s="4"/>
      <c r="CV109" s="4"/>
      <c r="CW109" s="4"/>
      <c r="CX109" s="4"/>
      <c r="CY109" s="4"/>
      <c r="CZ109" s="4"/>
      <c r="DA109" s="4"/>
      <c r="DB109" s="4"/>
      <c r="DC109" s="4"/>
      <c r="DD109" s="4"/>
      <c r="DE109" s="4"/>
      <c r="DF109" s="4"/>
      <c r="DG109" s="4"/>
      <c r="DH109" s="4"/>
      <c r="DI109" s="4"/>
      <c r="DJ109" s="4"/>
      <c r="DK109" s="4"/>
      <c r="DL109" s="4"/>
      <c r="DM109" s="4"/>
      <c r="DN109" s="4"/>
      <c r="DO109" s="4"/>
      <c r="DP109" s="4"/>
      <c r="DQ109" s="4"/>
      <c r="DR109" s="4"/>
      <c r="DS109" s="4"/>
      <c r="DT109" s="4"/>
      <c r="DU109" s="4"/>
      <c r="DV109" s="4"/>
      <c r="DW109" s="4"/>
      <c r="DX109" s="4"/>
      <c r="DY109" s="4"/>
      <c r="DZ109" s="4"/>
      <c r="EA109" s="4"/>
      <c r="EB109" s="4"/>
      <c r="EC109" s="4"/>
      <c r="ED109" s="4"/>
      <c r="EE109" s="4"/>
      <c r="EF109" s="4"/>
      <c r="EG109" s="4"/>
      <c r="EH109" s="4"/>
      <c r="EI109" s="4"/>
      <c r="EJ109" s="4"/>
      <c r="EK109" s="4"/>
      <c r="EL109" s="4"/>
      <c r="EM109" s="4"/>
      <c r="EN109" s="4"/>
      <c r="EO109" s="4"/>
      <c r="EP109" s="4"/>
      <c r="EQ109" s="4"/>
      <c r="ER109" s="4"/>
      <c r="ES109" s="4"/>
      <c r="ET109" s="4"/>
      <c r="EU109" s="4"/>
      <c r="EV109" s="4"/>
      <c r="EW109" s="4"/>
      <c r="EX109" s="4"/>
      <c r="EY109" s="4"/>
      <c r="EZ109" s="4"/>
      <c r="FA109" s="4"/>
      <c r="FB109" s="4"/>
      <c r="FC109" s="4"/>
      <c r="FD109" s="4"/>
      <c r="FE109" s="4"/>
      <c r="FF109" s="4"/>
      <c r="FG109" s="4"/>
      <c r="FH109" s="4"/>
      <c r="FI109" s="4"/>
      <c r="FJ109" s="4"/>
      <c r="FK109" s="4"/>
      <c r="FL109" s="4"/>
      <c r="FM109" s="4"/>
      <c r="FN109" s="4"/>
      <c r="FO109" s="4"/>
      <c r="FP109" s="4"/>
      <c r="FQ109" s="4"/>
      <c r="FR109" s="4"/>
      <c r="FS109" s="4"/>
      <c r="FT109" s="4"/>
      <c r="FU109" s="4"/>
      <c r="FV109" s="4"/>
      <c r="FW109" s="4"/>
      <c r="FX109" s="4"/>
      <c r="FY109" s="4"/>
      <c r="FZ109" s="4"/>
      <c r="GA109" s="4"/>
      <c r="GB109" s="4"/>
      <c r="GC109" s="4"/>
      <c r="GD109" s="4"/>
      <c r="GE109" s="4"/>
      <c r="GF109" s="4"/>
      <c r="GG109" s="4"/>
      <c r="GH109" s="4"/>
      <c r="GI109" s="4"/>
      <c r="GJ109" s="4"/>
      <c r="GK109" s="4"/>
      <c r="GL109" s="4"/>
      <c r="GM109" s="4"/>
      <c r="GN109" s="4"/>
      <c r="GO109" s="4"/>
      <c r="GP109" s="4"/>
      <c r="GQ109" s="4"/>
      <c r="GR109" s="4"/>
      <c r="GS109" s="4"/>
      <c r="GT109" s="4"/>
    </row>
    <row r="110" spans="1:202" s="34" customFormat="1">
      <c r="A110" s="69"/>
      <c r="B110" s="29"/>
      <c r="C110" s="69"/>
      <c r="D110" s="69"/>
      <c r="E110" s="69"/>
      <c r="F110" s="69"/>
      <c r="G110" s="29"/>
      <c r="H110" s="69"/>
      <c r="I110" s="69"/>
      <c r="J110" s="69"/>
      <c r="K110" s="69"/>
      <c r="L110" s="21"/>
      <c r="M110" s="69"/>
      <c r="N110" s="69"/>
      <c r="O110" s="69"/>
      <c r="P110" s="69"/>
      <c r="Q110" s="21"/>
      <c r="R110" s="69"/>
      <c r="S110" s="69"/>
      <c r="T110" s="69"/>
      <c r="U110" s="69"/>
      <c r="V110" s="21"/>
      <c r="W110" s="69"/>
      <c r="X110" s="69"/>
      <c r="Y110" s="69"/>
      <c r="Z110" s="69"/>
      <c r="AA110" s="21"/>
      <c r="AB110" s="69"/>
      <c r="AC110" s="69"/>
      <c r="AD110" s="69"/>
      <c r="AE110" s="69"/>
      <c r="AF110" s="21"/>
      <c r="AG110" s="69"/>
      <c r="AH110" s="69"/>
      <c r="AI110" s="69"/>
      <c r="AJ110" s="69"/>
      <c r="AK110" s="21"/>
      <c r="AL110" s="69"/>
      <c r="AM110" s="69"/>
      <c r="AN110" s="69"/>
      <c r="AO110" s="69"/>
      <c r="AP110" s="21"/>
      <c r="AQ110" s="69"/>
      <c r="AR110" s="69"/>
      <c r="AS110" s="69"/>
      <c r="AT110" s="69"/>
      <c r="AU110" s="21"/>
      <c r="AV110" s="69"/>
      <c r="AW110" s="69"/>
      <c r="AX110" s="69"/>
      <c r="AY110" s="69"/>
      <c r="AZ110" s="21"/>
      <c r="BA110" s="69"/>
      <c r="BB110" s="4"/>
      <c r="BC110" s="4"/>
      <c r="BD110" s="4"/>
      <c r="BE110" s="4"/>
      <c r="BF110" s="4"/>
      <c r="BG110" s="4"/>
      <c r="BH110" s="4"/>
      <c r="BI110" s="4"/>
      <c r="BJ110" s="4"/>
      <c r="BK110" s="4"/>
      <c r="BL110" s="4"/>
      <c r="BM110" s="4"/>
      <c r="BN110" s="4"/>
      <c r="BO110" s="4"/>
      <c r="BP110" s="4"/>
      <c r="BQ110" s="4"/>
      <c r="BR110" s="4"/>
      <c r="BS110" s="4"/>
      <c r="BT110" s="4"/>
      <c r="BU110" s="4"/>
      <c r="BV110" s="4"/>
      <c r="BW110" s="4"/>
      <c r="BX110" s="4"/>
      <c r="BY110" s="4"/>
      <c r="BZ110" s="4"/>
      <c r="CA110" s="4"/>
      <c r="CB110" s="4"/>
      <c r="CC110" s="4"/>
      <c r="CD110" s="4"/>
      <c r="CE110" s="4"/>
      <c r="CF110" s="4"/>
      <c r="CG110" s="4"/>
      <c r="CH110" s="4"/>
      <c r="CI110" s="4"/>
      <c r="CJ110" s="4"/>
      <c r="CK110" s="4"/>
      <c r="CL110" s="4"/>
      <c r="CM110" s="4"/>
      <c r="CN110" s="4"/>
      <c r="CO110" s="4"/>
      <c r="CP110" s="4"/>
      <c r="CQ110" s="4"/>
      <c r="CR110" s="4"/>
      <c r="CS110" s="4"/>
      <c r="CT110" s="4"/>
      <c r="CU110" s="4"/>
      <c r="CV110" s="4"/>
      <c r="CW110" s="4"/>
      <c r="CX110" s="4"/>
      <c r="CY110" s="4"/>
      <c r="CZ110" s="4"/>
      <c r="DA110" s="4"/>
      <c r="DB110" s="4"/>
      <c r="DC110" s="4"/>
      <c r="DD110" s="4"/>
      <c r="DE110" s="4"/>
      <c r="DF110" s="4"/>
      <c r="DG110" s="4"/>
      <c r="DH110" s="4"/>
      <c r="DI110" s="4"/>
      <c r="DJ110" s="4"/>
      <c r="DK110" s="4"/>
      <c r="DL110" s="4"/>
      <c r="DM110" s="4"/>
      <c r="DN110" s="4"/>
      <c r="DO110" s="4"/>
      <c r="DP110" s="4"/>
      <c r="DQ110" s="4"/>
      <c r="DR110" s="4"/>
      <c r="DS110" s="4"/>
      <c r="DT110" s="4"/>
      <c r="DU110" s="4"/>
      <c r="DV110" s="4"/>
      <c r="DW110" s="4"/>
      <c r="DX110" s="4"/>
      <c r="DY110" s="4"/>
      <c r="DZ110" s="4"/>
      <c r="EA110" s="4"/>
      <c r="EB110" s="4"/>
      <c r="EC110" s="4"/>
      <c r="ED110" s="4"/>
      <c r="EE110" s="4"/>
      <c r="EF110" s="4"/>
      <c r="EG110" s="4"/>
      <c r="EH110" s="4"/>
      <c r="EI110" s="4"/>
      <c r="EJ110" s="4"/>
      <c r="EK110" s="4"/>
      <c r="EL110" s="4"/>
      <c r="EM110" s="4"/>
      <c r="EN110" s="4"/>
      <c r="EO110" s="4"/>
      <c r="EP110" s="4"/>
      <c r="EQ110" s="4"/>
      <c r="ER110" s="4"/>
      <c r="ES110" s="4"/>
      <c r="ET110" s="4"/>
      <c r="EU110" s="4"/>
      <c r="EV110" s="4"/>
      <c r="EW110" s="4"/>
      <c r="EX110" s="4"/>
      <c r="EY110" s="4"/>
      <c r="EZ110" s="4"/>
      <c r="FA110" s="4"/>
      <c r="FB110" s="4"/>
      <c r="FC110" s="4"/>
      <c r="FD110" s="4"/>
      <c r="FE110" s="4"/>
      <c r="FF110" s="4"/>
      <c r="FG110" s="4"/>
      <c r="FH110" s="4"/>
      <c r="FI110" s="4"/>
      <c r="FJ110" s="4"/>
      <c r="FK110" s="4"/>
      <c r="FL110" s="4"/>
      <c r="FM110" s="4"/>
      <c r="FN110" s="4"/>
      <c r="FO110" s="4"/>
      <c r="FP110" s="4"/>
      <c r="FQ110" s="4"/>
      <c r="FR110" s="4"/>
      <c r="FS110" s="4"/>
      <c r="FT110" s="4"/>
      <c r="FU110" s="4"/>
      <c r="FV110" s="4"/>
      <c r="FW110" s="4"/>
      <c r="FX110" s="4"/>
      <c r="FY110" s="4"/>
      <c r="FZ110" s="4"/>
      <c r="GA110" s="4"/>
      <c r="GB110" s="4"/>
      <c r="GC110" s="4"/>
      <c r="GD110" s="4"/>
      <c r="GE110" s="4"/>
      <c r="GF110" s="4"/>
      <c r="GG110" s="4"/>
      <c r="GH110" s="4"/>
      <c r="GI110" s="4"/>
      <c r="GJ110" s="4"/>
      <c r="GK110" s="4"/>
      <c r="GL110" s="4"/>
      <c r="GM110" s="4"/>
      <c r="GN110" s="4"/>
      <c r="GO110" s="4"/>
      <c r="GP110" s="4"/>
      <c r="GQ110" s="4"/>
      <c r="GR110" s="4"/>
      <c r="GS110" s="4"/>
      <c r="GT110" s="4"/>
    </row>
    <row r="111" spans="1:202" s="2" customFormat="1">
      <c r="A111" s="69" t="s">
        <v>78</v>
      </c>
      <c r="B111" s="29">
        <v>549</v>
      </c>
      <c r="C111" s="69">
        <v>549</v>
      </c>
      <c r="D111" s="69">
        <v>551</v>
      </c>
      <c r="E111" s="69">
        <v>556</v>
      </c>
      <c r="F111" s="69">
        <v>560</v>
      </c>
      <c r="G111" s="29">
        <v>560</v>
      </c>
      <c r="H111" s="69">
        <v>560</v>
      </c>
      <c r="I111" s="69">
        <v>562</v>
      </c>
      <c r="J111" s="69">
        <v>567</v>
      </c>
      <c r="K111" s="70">
        <v>571</v>
      </c>
      <c r="L111" s="28">
        <v>571</v>
      </c>
      <c r="M111" s="69">
        <v>571</v>
      </c>
      <c r="N111" s="69">
        <v>573</v>
      </c>
      <c r="O111" s="69">
        <v>575</v>
      </c>
      <c r="P111" s="70">
        <v>578</v>
      </c>
      <c r="Q111" s="28">
        <v>578</v>
      </c>
      <c r="R111" s="69">
        <v>580</v>
      </c>
      <c r="S111" s="69">
        <v>581</v>
      </c>
      <c r="T111" s="69">
        <v>585</v>
      </c>
      <c r="U111" s="70">
        <v>586</v>
      </c>
      <c r="V111" s="28">
        <v>586</v>
      </c>
      <c r="W111" s="69">
        <v>585</v>
      </c>
      <c r="X111" s="69">
        <v>582</v>
      </c>
      <c r="Y111" s="69">
        <v>581</v>
      </c>
      <c r="Z111" s="70">
        <v>578</v>
      </c>
      <c r="AA111" s="28">
        <v>578</v>
      </c>
      <c r="AB111" s="69">
        <v>578</v>
      </c>
      <c r="AC111" s="69">
        <v>583</v>
      </c>
      <c r="AD111" s="69">
        <v>593</v>
      </c>
      <c r="AE111" s="70">
        <v>600</v>
      </c>
      <c r="AF111" s="28">
        <v>600</v>
      </c>
      <c r="AG111" s="69">
        <v>605</v>
      </c>
      <c r="AH111" s="69">
        <v>611</v>
      </c>
      <c r="AI111" s="69">
        <v>622</v>
      </c>
      <c r="AJ111" s="70">
        <v>630</v>
      </c>
      <c r="AK111" s="28">
        <v>630</v>
      </c>
      <c r="AL111" s="69">
        <v>632</v>
      </c>
      <c r="AM111" s="69">
        <v>636</v>
      </c>
      <c r="AN111" s="69">
        <v>637</v>
      </c>
      <c r="AO111" s="70">
        <v>635</v>
      </c>
      <c r="AP111" s="28">
        <v>635</v>
      </c>
      <c r="AQ111" s="69">
        <v>629</v>
      </c>
      <c r="AR111" s="69">
        <v>623</v>
      </c>
      <c r="AS111" s="69">
        <v>618</v>
      </c>
      <c r="AT111" s="70">
        <v>614</v>
      </c>
      <c r="AU111" s="28">
        <v>614</v>
      </c>
      <c r="AV111" s="69">
        <v>608</v>
      </c>
      <c r="AW111" s="69">
        <v>603</v>
      </c>
      <c r="AX111" s="69">
        <v>597</v>
      </c>
      <c r="AY111" s="70">
        <v>587</v>
      </c>
      <c r="AZ111" s="28">
        <v>587</v>
      </c>
      <c r="BA111" s="69">
        <v>580</v>
      </c>
      <c r="BB111" s="3"/>
      <c r="BC111" s="3"/>
      <c r="BD111" s="3"/>
      <c r="BE111" s="3"/>
      <c r="BF111" s="3"/>
      <c r="BG111" s="3"/>
      <c r="BH111" s="3"/>
      <c r="BI111" s="36"/>
      <c r="BJ111" s="36"/>
      <c r="BK111" s="36"/>
      <c r="BL111" s="36"/>
      <c r="BM111" s="36"/>
      <c r="BN111" s="36"/>
      <c r="BO111" s="36"/>
      <c r="BP111" s="36"/>
      <c r="BQ111" s="36"/>
      <c r="BR111" s="36"/>
      <c r="BS111" s="36"/>
      <c r="BT111" s="36"/>
      <c r="BU111" s="36"/>
      <c r="BV111" s="36"/>
      <c r="BW111" s="36"/>
      <c r="BX111" s="36"/>
      <c r="BY111" s="36"/>
      <c r="BZ111" s="36"/>
      <c r="CA111" s="36"/>
      <c r="CB111" s="36"/>
      <c r="CC111" s="36"/>
      <c r="CD111" s="36"/>
      <c r="CE111" s="36"/>
      <c r="CF111" s="36"/>
      <c r="CG111" s="36"/>
      <c r="CH111" s="36"/>
      <c r="CI111" s="36"/>
      <c r="CJ111" s="36"/>
      <c r="CK111" s="36"/>
      <c r="CL111" s="36"/>
      <c r="CM111" s="36"/>
      <c r="CN111" s="36"/>
      <c r="CO111" s="36"/>
      <c r="CP111" s="36"/>
      <c r="CQ111" s="36"/>
      <c r="CR111" s="36"/>
      <c r="CS111" s="36"/>
      <c r="CT111" s="36"/>
      <c r="CU111" s="36"/>
      <c r="CV111" s="36"/>
      <c r="CW111" s="36"/>
      <c r="CX111" s="36"/>
      <c r="CY111" s="36"/>
      <c r="CZ111" s="36"/>
      <c r="DA111" s="36"/>
      <c r="DB111" s="36"/>
      <c r="DC111" s="36"/>
      <c r="DD111" s="36"/>
      <c r="DE111" s="36"/>
      <c r="DF111" s="36"/>
      <c r="DG111" s="36"/>
      <c r="DH111" s="36"/>
      <c r="DI111" s="36"/>
      <c r="DJ111" s="36"/>
      <c r="DK111" s="36"/>
      <c r="DL111" s="36"/>
      <c r="DM111" s="36"/>
      <c r="DN111" s="36"/>
      <c r="DO111" s="36"/>
      <c r="DP111" s="36"/>
      <c r="DQ111" s="36"/>
      <c r="DR111" s="36"/>
      <c r="DS111" s="36"/>
      <c r="DT111" s="36"/>
      <c r="DU111" s="36"/>
      <c r="DV111" s="36"/>
      <c r="DW111" s="36"/>
      <c r="DX111" s="36"/>
      <c r="DY111" s="36"/>
      <c r="DZ111" s="36"/>
      <c r="EA111" s="36"/>
      <c r="EB111" s="36"/>
      <c r="EC111" s="36"/>
      <c r="ED111" s="36"/>
      <c r="EE111" s="36"/>
      <c r="EF111" s="36"/>
      <c r="EG111" s="36"/>
      <c r="EH111" s="36"/>
      <c r="EI111" s="36"/>
      <c r="EJ111" s="36"/>
      <c r="EK111" s="36"/>
      <c r="EL111" s="36"/>
      <c r="EM111" s="36"/>
      <c r="EN111" s="36"/>
      <c r="EO111" s="36"/>
      <c r="EP111" s="36"/>
      <c r="EQ111" s="36"/>
      <c r="ER111" s="36"/>
      <c r="ES111" s="36"/>
      <c r="ET111" s="36"/>
      <c r="EU111" s="36"/>
      <c r="EV111" s="36"/>
      <c r="EW111" s="36"/>
      <c r="EX111" s="36"/>
      <c r="EY111" s="36"/>
      <c r="EZ111" s="36"/>
      <c r="FA111" s="36"/>
      <c r="FB111" s="36"/>
      <c r="FC111" s="36"/>
      <c r="FD111" s="36"/>
      <c r="FE111" s="36"/>
      <c r="FF111" s="36"/>
      <c r="FG111" s="36"/>
      <c r="FH111" s="36"/>
      <c r="FI111" s="36"/>
      <c r="FJ111" s="36"/>
      <c r="FK111" s="36"/>
      <c r="FL111" s="36"/>
      <c r="FM111" s="36"/>
      <c r="FN111" s="36"/>
      <c r="FO111" s="36"/>
      <c r="FP111" s="36"/>
      <c r="FQ111" s="36"/>
      <c r="FR111" s="36"/>
      <c r="FS111" s="36"/>
      <c r="FT111" s="36"/>
      <c r="FU111" s="36"/>
      <c r="FV111" s="36"/>
      <c r="FW111" s="36"/>
      <c r="FX111" s="36"/>
      <c r="FY111" s="36"/>
      <c r="FZ111" s="36"/>
      <c r="GA111" s="36"/>
      <c r="GB111" s="36"/>
      <c r="GC111" s="36"/>
      <c r="GD111" s="36"/>
      <c r="GE111" s="36"/>
      <c r="GF111" s="36"/>
      <c r="GG111" s="36"/>
      <c r="GH111" s="36"/>
      <c r="GI111" s="36"/>
      <c r="GJ111" s="36"/>
      <c r="GK111" s="36"/>
      <c r="GL111" s="36"/>
      <c r="GM111" s="36"/>
      <c r="GN111" s="36"/>
      <c r="GO111" s="36"/>
      <c r="GP111" s="36"/>
      <c r="GQ111" s="36"/>
      <c r="GR111" s="36"/>
      <c r="GS111" s="36"/>
      <c r="GT111" s="36"/>
    </row>
    <row r="112" spans="1:202">
      <c r="A112" s="71" t="s">
        <v>7</v>
      </c>
      <c r="B112" s="24"/>
      <c r="C112" s="72"/>
      <c r="D112" s="72">
        <f>D111/C111-1</f>
        <v>3.6429872495447047E-3</v>
      </c>
      <c r="E112" s="72">
        <f>E111/D111-1</f>
        <v>9.0744101633393193E-3</v>
      </c>
      <c r="F112" s="72">
        <f>F111/E111-1</f>
        <v>7.194244604316502E-3</v>
      </c>
      <c r="G112" s="24"/>
      <c r="H112" s="72">
        <v>0</v>
      </c>
      <c r="I112" s="72">
        <v>3.5714285714285587E-3</v>
      </c>
      <c r="J112" s="72">
        <v>8.8967971530249379E-3</v>
      </c>
      <c r="K112" s="72">
        <v>7.0546737213403876E-3</v>
      </c>
      <c r="L112" s="27"/>
      <c r="M112" s="72">
        <v>0</v>
      </c>
      <c r="N112" s="72">
        <v>3.5026269702276291E-3</v>
      </c>
      <c r="O112" s="72">
        <v>3.4904013961605251E-3</v>
      </c>
      <c r="P112" s="72">
        <v>5.2173913043478404E-3</v>
      </c>
      <c r="Q112" s="27"/>
      <c r="R112" s="72">
        <v>3.4602076124568004E-3</v>
      </c>
      <c r="S112" s="72">
        <v>1.7241379310344307E-3</v>
      </c>
      <c r="T112" s="72">
        <v>6.8846815834766595E-3</v>
      </c>
      <c r="U112" s="72">
        <v>1.7094017094017033E-3</v>
      </c>
      <c r="V112" s="27"/>
      <c r="W112" s="72">
        <v>-1.7064846416382506E-3</v>
      </c>
      <c r="X112" s="72">
        <v>-5.12820512820511E-3</v>
      </c>
      <c r="Y112" s="72">
        <v>-1.7182130584192379E-3</v>
      </c>
      <c r="Z112" s="72">
        <v>-5.1635111876076056E-3</v>
      </c>
      <c r="AA112" s="27"/>
      <c r="AB112" s="72">
        <v>0</v>
      </c>
      <c r="AC112" s="72">
        <v>8.65051903114189E-3</v>
      </c>
      <c r="AD112" s="72">
        <v>1.7152658662092701E-2</v>
      </c>
      <c r="AE112" s="72">
        <v>1.180438448566612E-2</v>
      </c>
      <c r="AF112" s="27"/>
      <c r="AG112" s="72">
        <v>8.3333333333333037E-3</v>
      </c>
      <c r="AH112" s="72">
        <v>9.917355371900749E-3</v>
      </c>
      <c r="AI112" s="72">
        <v>1.8003273322422242E-2</v>
      </c>
      <c r="AJ112" s="72">
        <v>1.2861736334405238E-2</v>
      </c>
      <c r="AK112" s="27"/>
      <c r="AL112" s="72">
        <v>3.1746031746031633E-3</v>
      </c>
      <c r="AM112" s="72">
        <v>6.3291139240506666E-3</v>
      </c>
      <c r="AN112" s="72">
        <v>1.5723270440251014E-3</v>
      </c>
      <c r="AO112" s="72">
        <v>-3.1397174254317317E-3</v>
      </c>
      <c r="AP112" s="27"/>
      <c r="AQ112" s="72">
        <v>-9.4488188976378229E-3</v>
      </c>
      <c r="AR112" s="72">
        <v>-9.5389507154213238E-3</v>
      </c>
      <c r="AS112" s="72">
        <v>-8.0256821829856051E-3</v>
      </c>
      <c r="AT112" s="72">
        <v>-6.4724919093851474E-3</v>
      </c>
      <c r="AU112" s="27"/>
      <c r="AV112" s="72">
        <v>-9.7719869706840434E-3</v>
      </c>
      <c r="AW112" s="72">
        <v>-8.2236842105263275E-3</v>
      </c>
      <c r="AX112" s="72">
        <v>-9.9502487562188602E-3</v>
      </c>
      <c r="AY112" s="72">
        <v>-1.675041876046901E-2</v>
      </c>
      <c r="AZ112" s="27"/>
      <c r="BA112" s="72">
        <v>-1.1925042589437829E-2</v>
      </c>
    </row>
    <row r="113" spans="1:202">
      <c r="A113" s="71" t="s">
        <v>8</v>
      </c>
      <c r="B113" s="24"/>
      <c r="C113" s="73"/>
      <c r="D113" s="73"/>
      <c r="E113" s="73"/>
      <c r="F113" s="73"/>
      <c r="G113" s="24">
        <v>2.0036429872495543E-2</v>
      </c>
      <c r="H113" s="73">
        <v>2.0036429872495543E-2</v>
      </c>
      <c r="I113" s="73">
        <v>1.9963702359346636E-2</v>
      </c>
      <c r="J113" s="73">
        <v>1.9784172661870603E-2</v>
      </c>
      <c r="K113" s="72">
        <v>1.9642857142857073E-2</v>
      </c>
      <c r="L113" s="24">
        <v>1.9642857142857073E-2</v>
      </c>
      <c r="M113" s="73">
        <v>1.9642857142857073E-2</v>
      </c>
      <c r="N113" s="73">
        <v>1.9572953736654908E-2</v>
      </c>
      <c r="O113" s="73">
        <v>1.4109347442680775E-2</v>
      </c>
      <c r="P113" s="72">
        <v>1.2259194395796813E-2</v>
      </c>
      <c r="Q113" s="24">
        <v>1.2259194395796813E-2</v>
      </c>
      <c r="R113" s="73">
        <v>1.5761821366024442E-2</v>
      </c>
      <c r="S113" s="73">
        <v>1.3961605584642323E-2</v>
      </c>
      <c r="T113" s="73">
        <v>1.7391304347825987E-2</v>
      </c>
      <c r="U113" s="72">
        <v>1.384083044982698E-2</v>
      </c>
      <c r="V113" s="24">
        <v>1.384083044982698E-2</v>
      </c>
      <c r="W113" s="73">
        <v>8.6206896551723755E-3</v>
      </c>
      <c r="X113" s="73">
        <v>1.7211703958692759E-3</v>
      </c>
      <c r="Y113" s="73">
        <v>-6.8376068376068133E-3</v>
      </c>
      <c r="Z113" s="72">
        <v>-1.3651877133105783E-2</v>
      </c>
      <c r="AA113" s="24">
        <v>-1.3651877133105783E-2</v>
      </c>
      <c r="AB113" s="73">
        <v>-1.1965811965811923E-2</v>
      </c>
      <c r="AC113" s="73">
        <v>1.7182130584192379E-3</v>
      </c>
      <c r="AD113" s="73">
        <v>2.06540447504302E-2</v>
      </c>
      <c r="AE113" s="72">
        <v>3.8062283737024138E-2</v>
      </c>
      <c r="AF113" s="24">
        <v>3.8062283737024138E-2</v>
      </c>
      <c r="AG113" s="73">
        <v>4.6712802768166028E-2</v>
      </c>
      <c r="AH113" s="73">
        <v>4.8027444253859297E-2</v>
      </c>
      <c r="AI113" s="73">
        <v>4.8903878583473892E-2</v>
      </c>
      <c r="AJ113" s="72">
        <v>5.0000000000000044E-2</v>
      </c>
      <c r="AK113" s="24">
        <v>5.0000000000000044E-2</v>
      </c>
      <c r="AL113" s="73">
        <v>4.4628099173553704E-2</v>
      </c>
      <c r="AM113" s="73">
        <v>4.0916530278232388E-2</v>
      </c>
      <c r="AN113" s="73">
        <v>2.4115755627009738E-2</v>
      </c>
      <c r="AO113" s="72">
        <v>7.9365079365079083E-3</v>
      </c>
      <c r="AP113" s="24">
        <v>7.9365079365079083E-3</v>
      </c>
      <c r="AQ113" s="73">
        <v>-4.746835443038E-3</v>
      </c>
      <c r="AR113" s="73">
        <v>-2.0440251572327095E-2</v>
      </c>
      <c r="AS113" s="73">
        <v>-2.9827315541601229E-2</v>
      </c>
      <c r="AT113" s="72">
        <v>-3.3070866141732269E-2</v>
      </c>
      <c r="AU113" s="24">
        <v>-3.3070866141732269E-2</v>
      </c>
      <c r="AV113" s="73">
        <v>-3.3386327503974522E-2</v>
      </c>
      <c r="AW113" s="73">
        <v>-3.2102728731942198E-2</v>
      </c>
      <c r="AX113" s="73">
        <v>-3.398058252427183E-2</v>
      </c>
      <c r="AY113" s="72">
        <v>-4.3973941368078195E-2</v>
      </c>
      <c r="AZ113" s="24">
        <v>-4.3973941368078195E-2</v>
      </c>
      <c r="BA113" s="73">
        <v>-4.6052631578947345E-2</v>
      </c>
    </row>
    <row r="114" spans="1:202" ht="11.65" customHeight="1">
      <c r="A114" s="71" t="s">
        <v>223</v>
      </c>
      <c r="B114" s="24"/>
      <c r="C114" s="73"/>
      <c r="D114" s="73"/>
      <c r="E114" s="73"/>
      <c r="F114" s="73"/>
      <c r="G114" s="24"/>
      <c r="H114" s="73"/>
      <c r="I114" s="73"/>
      <c r="J114" s="73"/>
      <c r="K114" s="72"/>
      <c r="L114" s="24"/>
      <c r="M114" s="73"/>
      <c r="N114" s="73"/>
      <c r="O114" s="73"/>
      <c r="P114" s="72"/>
      <c r="Q114" s="24"/>
      <c r="R114" s="73"/>
      <c r="S114" s="73"/>
      <c r="T114" s="73"/>
      <c r="U114" s="72"/>
      <c r="V114" s="24"/>
      <c r="W114" s="73"/>
      <c r="X114" s="73"/>
      <c r="Y114" s="73"/>
      <c r="Z114" s="72"/>
      <c r="AA114" s="24"/>
      <c r="AB114" s="73"/>
      <c r="AC114" s="73"/>
      <c r="AD114" s="73"/>
      <c r="AE114" s="72"/>
      <c r="AF114" s="24"/>
      <c r="AG114" s="73"/>
      <c r="AH114" s="73"/>
      <c r="AI114" s="73"/>
      <c r="AJ114" s="72"/>
      <c r="AK114" s="24"/>
      <c r="AL114" s="73"/>
      <c r="AM114" s="197">
        <v>4</v>
      </c>
      <c r="AN114" s="197">
        <v>1</v>
      </c>
      <c r="AO114" s="197">
        <v>-2</v>
      </c>
      <c r="AP114" s="198"/>
      <c r="AQ114" s="199">
        <v>-6</v>
      </c>
      <c r="AR114" s="199">
        <v>-6</v>
      </c>
      <c r="AS114" s="199">
        <v>-5</v>
      </c>
      <c r="AT114" s="199">
        <v>-4</v>
      </c>
      <c r="AU114" s="200">
        <v>-21</v>
      </c>
      <c r="AV114" s="199">
        <v>-6</v>
      </c>
      <c r="AW114" s="199">
        <v>-5</v>
      </c>
      <c r="AX114" s="199">
        <v>-6</v>
      </c>
      <c r="AY114" s="199">
        <v>-10</v>
      </c>
      <c r="AZ114" s="200">
        <v>-27</v>
      </c>
      <c r="BA114" s="199">
        <v>-7</v>
      </c>
    </row>
    <row r="115" spans="1:202" ht="8.25" customHeight="1">
      <c r="A115" s="71"/>
      <c r="B115" s="24"/>
      <c r="C115" s="73"/>
      <c r="D115" s="73"/>
      <c r="E115" s="73"/>
      <c r="F115" s="73"/>
      <c r="G115" s="24"/>
      <c r="H115" s="73"/>
      <c r="I115" s="73"/>
      <c r="J115" s="73"/>
      <c r="K115" s="72"/>
      <c r="L115" s="24"/>
      <c r="M115" s="73"/>
      <c r="N115" s="73"/>
      <c r="O115" s="73"/>
      <c r="P115" s="72"/>
      <c r="Q115" s="24"/>
      <c r="R115" s="73"/>
      <c r="S115" s="73"/>
      <c r="T115" s="73"/>
      <c r="U115" s="72"/>
      <c r="V115" s="24"/>
      <c r="W115" s="73"/>
      <c r="X115" s="73"/>
      <c r="Y115" s="73"/>
      <c r="Z115" s="72"/>
      <c r="AA115" s="24"/>
      <c r="AB115" s="73"/>
      <c r="AC115" s="73"/>
      <c r="AD115" s="73"/>
      <c r="AE115" s="72"/>
      <c r="AF115" s="24"/>
      <c r="AG115" s="73"/>
      <c r="AH115" s="73"/>
      <c r="AI115" s="73"/>
      <c r="AJ115" s="72"/>
      <c r="AK115" s="24"/>
      <c r="AL115" s="73"/>
      <c r="AM115" s="83"/>
      <c r="AN115" s="83"/>
      <c r="AO115" s="72"/>
      <c r="AP115" s="24"/>
      <c r="AQ115" s="73"/>
      <c r="AR115" s="83"/>
      <c r="AS115" s="83"/>
      <c r="AT115" s="72"/>
      <c r="AU115" s="24"/>
      <c r="AV115" s="73"/>
      <c r="AW115" s="73"/>
      <c r="AX115" s="73"/>
      <c r="AY115" s="72"/>
      <c r="AZ115" s="24"/>
      <c r="BA115" s="73"/>
    </row>
    <row r="116" spans="1:202">
      <c r="A116" s="69" t="s">
        <v>79</v>
      </c>
      <c r="B116" s="38">
        <v>217</v>
      </c>
      <c r="C116" s="69">
        <v>231</v>
      </c>
      <c r="D116" s="69">
        <v>230</v>
      </c>
      <c r="E116" s="69">
        <v>226</v>
      </c>
      <c r="F116" s="69">
        <v>225</v>
      </c>
      <c r="G116" s="38">
        <v>228</v>
      </c>
      <c r="H116" s="69">
        <v>228</v>
      </c>
      <c r="I116" s="69">
        <v>224</v>
      </c>
      <c r="J116" s="69">
        <v>224</v>
      </c>
      <c r="K116" s="70">
        <v>229</v>
      </c>
      <c r="L116" s="28">
        <v>226</v>
      </c>
      <c r="M116" s="69">
        <v>229</v>
      </c>
      <c r="N116" s="69">
        <v>231</v>
      </c>
      <c r="O116" s="69">
        <v>229</v>
      </c>
      <c r="P116" s="70">
        <v>231</v>
      </c>
      <c r="Q116" s="28">
        <v>230</v>
      </c>
      <c r="R116" s="69">
        <v>234</v>
      </c>
      <c r="S116" s="69">
        <v>232</v>
      </c>
      <c r="T116" s="69">
        <v>232</v>
      </c>
      <c r="U116" s="70">
        <v>229</v>
      </c>
      <c r="V116" s="28">
        <v>232</v>
      </c>
      <c r="W116" s="69">
        <v>237</v>
      </c>
      <c r="X116" s="69">
        <v>234</v>
      </c>
      <c r="Y116" s="69">
        <v>231</v>
      </c>
      <c r="Z116" s="70">
        <v>234</v>
      </c>
      <c r="AA116" s="28">
        <v>234</v>
      </c>
      <c r="AB116" s="69">
        <v>233</v>
      </c>
      <c r="AC116" s="69">
        <v>232</v>
      </c>
      <c r="AD116" s="69">
        <v>233</v>
      </c>
      <c r="AE116" s="70">
        <v>233</v>
      </c>
      <c r="AF116" s="28">
        <v>233</v>
      </c>
      <c r="AG116" s="69">
        <v>234</v>
      </c>
      <c r="AH116" s="69">
        <v>234</v>
      </c>
      <c r="AI116" s="69">
        <v>234</v>
      </c>
      <c r="AJ116" s="70">
        <v>234</v>
      </c>
      <c r="AK116" s="28">
        <v>234</v>
      </c>
      <c r="AL116" s="69">
        <v>232</v>
      </c>
      <c r="AM116" s="69">
        <v>231</v>
      </c>
      <c r="AN116" s="69">
        <v>233</v>
      </c>
      <c r="AO116" s="70">
        <v>235</v>
      </c>
      <c r="AP116" s="28">
        <v>233</v>
      </c>
      <c r="AQ116" s="69">
        <v>231</v>
      </c>
      <c r="AR116" s="69">
        <v>231</v>
      </c>
      <c r="AS116" s="69">
        <v>233</v>
      </c>
      <c r="AT116" s="70">
        <v>237</v>
      </c>
      <c r="AU116" s="28">
        <v>233</v>
      </c>
      <c r="AV116" s="69">
        <v>232</v>
      </c>
      <c r="AW116" s="69">
        <v>229</v>
      </c>
      <c r="AX116" s="69">
        <v>226</v>
      </c>
      <c r="AY116" s="70">
        <v>226</v>
      </c>
      <c r="AZ116" s="28">
        <v>228</v>
      </c>
      <c r="BA116" s="69">
        <v>214</v>
      </c>
    </row>
    <row r="117" spans="1:202" ht="10.5" customHeight="1">
      <c r="A117" s="71" t="s">
        <v>7</v>
      </c>
      <c r="B117" s="24"/>
      <c r="C117" s="72"/>
      <c r="D117" s="72">
        <f>D116/C116-1</f>
        <v>-4.3290043290042934E-3</v>
      </c>
      <c r="E117" s="72">
        <f>E116/D116-1</f>
        <v>-1.7391304347826098E-2</v>
      </c>
      <c r="F117" s="72">
        <f>F116/E116-1</f>
        <v>-4.4247787610619538E-3</v>
      </c>
      <c r="G117" s="24"/>
      <c r="H117" s="72">
        <v>1.3333333333333419E-2</v>
      </c>
      <c r="I117" s="72">
        <v>-1.7543859649122862E-2</v>
      </c>
      <c r="J117" s="72">
        <v>0</v>
      </c>
      <c r="K117" s="72">
        <v>2.2321428571428603E-2</v>
      </c>
      <c r="L117" s="27"/>
      <c r="M117" s="72">
        <v>0</v>
      </c>
      <c r="N117" s="72">
        <v>8.733624454148492E-3</v>
      </c>
      <c r="O117" s="72">
        <v>-8.6580086580086979E-3</v>
      </c>
      <c r="P117" s="72">
        <v>8.733624454148492E-3</v>
      </c>
      <c r="Q117" s="27"/>
      <c r="R117" s="72">
        <v>1.298701298701288E-2</v>
      </c>
      <c r="S117" s="72">
        <v>-8.5470085470085166E-3</v>
      </c>
      <c r="T117" s="72">
        <v>0</v>
      </c>
      <c r="U117" s="72">
        <v>-1.2931034482758674E-2</v>
      </c>
      <c r="V117" s="27"/>
      <c r="W117" s="72">
        <v>3.4934497816593968E-2</v>
      </c>
      <c r="X117" s="72">
        <v>-1.2658227848101222E-2</v>
      </c>
      <c r="Y117" s="72">
        <v>-1.2820512820512775E-2</v>
      </c>
      <c r="Z117" s="72">
        <v>1.298701298701288E-2</v>
      </c>
      <c r="AA117" s="27"/>
      <c r="AB117" s="72">
        <v>-4.2735042735042583E-3</v>
      </c>
      <c r="AC117" s="72">
        <v>-4.2918454935622075E-3</v>
      </c>
      <c r="AD117" s="72">
        <v>4.3103448275862988E-3</v>
      </c>
      <c r="AE117" s="72">
        <v>0</v>
      </c>
      <c r="AF117" s="27"/>
      <c r="AG117" s="72">
        <v>4.2918454935623185E-3</v>
      </c>
      <c r="AH117" s="72">
        <v>0</v>
      </c>
      <c r="AI117" s="72">
        <v>0</v>
      </c>
      <c r="AJ117" s="72">
        <v>0</v>
      </c>
      <c r="AK117" s="27"/>
      <c r="AL117" s="72">
        <v>-8.5470085470085166E-3</v>
      </c>
      <c r="AM117" s="72">
        <v>-4.3103448275861878E-3</v>
      </c>
      <c r="AN117" s="72">
        <v>8.6580086580085869E-3</v>
      </c>
      <c r="AO117" s="72">
        <v>8.5836909871244149E-3</v>
      </c>
      <c r="AP117" s="27"/>
      <c r="AQ117" s="72">
        <v>-1.7021276595744705E-2</v>
      </c>
      <c r="AR117" s="72">
        <v>0</v>
      </c>
      <c r="AS117" s="72">
        <v>8.6580086580085869E-3</v>
      </c>
      <c r="AT117" s="72">
        <v>1.716738197424883E-2</v>
      </c>
      <c r="AU117" s="27"/>
      <c r="AV117" s="72">
        <v>-2.1097046413502074E-2</v>
      </c>
      <c r="AW117" s="72">
        <v>-1.2931034482758674E-2</v>
      </c>
      <c r="AX117" s="72">
        <v>-1.3100436681222738E-2</v>
      </c>
      <c r="AY117" s="72">
        <v>0</v>
      </c>
      <c r="AZ117" s="27"/>
      <c r="BA117" s="72">
        <v>-5.3097345132743334E-2</v>
      </c>
    </row>
    <row r="118" spans="1:202">
      <c r="A118" s="71" t="s">
        <v>8</v>
      </c>
      <c r="B118" s="24"/>
      <c r="C118" s="73"/>
      <c r="D118" s="73"/>
      <c r="E118" s="73"/>
      <c r="F118" s="73"/>
      <c r="G118" s="24">
        <v>5.0691244239631228E-2</v>
      </c>
      <c r="H118" s="73">
        <v>-1.2987012987012991E-2</v>
      </c>
      <c r="I118" s="73">
        <v>-2.6086956521739091E-2</v>
      </c>
      <c r="J118" s="73">
        <v>-8.8495575221239076E-3</v>
      </c>
      <c r="K118" s="72">
        <v>1.777777777777767E-2</v>
      </c>
      <c r="L118" s="24">
        <v>-8.7719298245614308E-3</v>
      </c>
      <c r="M118" s="73">
        <v>4.3859649122806044E-3</v>
      </c>
      <c r="N118" s="73">
        <v>3.125E-2</v>
      </c>
      <c r="O118" s="73">
        <v>2.2321428571428603E-2</v>
      </c>
      <c r="P118" s="72">
        <v>8.733624454148492E-3</v>
      </c>
      <c r="Q118" s="24">
        <v>1.7699115044247815E-2</v>
      </c>
      <c r="R118" s="73">
        <v>2.1834061135371119E-2</v>
      </c>
      <c r="S118" s="73">
        <v>4.3290043290042934E-3</v>
      </c>
      <c r="T118" s="73">
        <v>1.3100436681222627E-2</v>
      </c>
      <c r="U118" s="72">
        <v>-8.6580086580086979E-3</v>
      </c>
      <c r="V118" s="24">
        <v>8.6956521739129933E-3</v>
      </c>
      <c r="W118" s="73">
        <v>1.2820512820512775E-2</v>
      </c>
      <c r="X118" s="73">
        <v>8.6206896551723755E-3</v>
      </c>
      <c r="Y118" s="73">
        <v>-4.3103448275861878E-3</v>
      </c>
      <c r="Z118" s="72">
        <v>2.1834061135371119E-2</v>
      </c>
      <c r="AA118" s="24">
        <v>0.01</v>
      </c>
      <c r="AB118" s="73">
        <v>-1.6877637130801704E-2</v>
      </c>
      <c r="AC118" s="73">
        <v>-8.5470085470085166E-3</v>
      </c>
      <c r="AD118" s="73">
        <v>8.6580086580085869E-3</v>
      </c>
      <c r="AE118" s="72">
        <v>-4.2735042735042583E-3</v>
      </c>
      <c r="AF118" s="24">
        <v>-4.2735042735042583E-3</v>
      </c>
      <c r="AG118" s="73">
        <v>4.2918454935623185E-3</v>
      </c>
      <c r="AH118" s="73">
        <v>8.6206896551723755E-3</v>
      </c>
      <c r="AI118" s="73">
        <v>4.2918454935623185E-3</v>
      </c>
      <c r="AJ118" s="72">
        <v>4.2918454935623185E-3</v>
      </c>
      <c r="AK118" s="24">
        <v>4.2918454935623185E-3</v>
      </c>
      <c r="AL118" s="73">
        <v>-8.5470085470085166E-3</v>
      </c>
      <c r="AM118" s="73">
        <v>-1.2820512820512775E-2</v>
      </c>
      <c r="AN118" s="73">
        <v>-4.2735042735042583E-3</v>
      </c>
      <c r="AO118" s="72">
        <v>4.2735042735042583E-3</v>
      </c>
      <c r="AP118" s="24">
        <v>-4.2735042735042583E-3</v>
      </c>
      <c r="AQ118" s="73">
        <v>-4.3103448275861878E-3</v>
      </c>
      <c r="AR118" s="73">
        <v>0</v>
      </c>
      <c r="AS118" s="73">
        <v>0</v>
      </c>
      <c r="AT118" s="72">
        <v>8.5106382978723527E-3</v>
      </c>
      <c r="AU118" s="24">
        <v>0</v>
      </c>
      <c r="AV118" s="73">
        <v>4.3290043290042934E-3</v>
      </c>
      <c r="AW118" s="73">
        <v>-8.6580086580086979E-3</v>
      </c>
      <c r="AX118" s="73">
        <v>-3.0042918454935674E-2</v>
      </c>
      <c r="AY118" s="72">
        <v>-4.641350210970463E-2</v>
      </c>
      <c r="AZ118" s="24">
        <v>-2.1459227467811148E-2</v>
      </c>
      <c r="BA118" s="73">
        <v>-7.7586206896551713E-2</v>
      </c>
    </row>
    <row r="119" spans="1:202" ht="9.75" customHeight="1">
      <c r="A119" s="71"/>
      <c r="B119" s="24"/>
      <c r="C119" s="73"/>
      <c r="D119" s="73"/>
      <c r="E119" s="73"/>
      <c r="F119" s="73"/>
      <c r="G119" s="24"/>
      <c r="H119" s="73"/>
      <c r="I119" s="73"/>
      <c r="J119" s="73"/>
      <c r="K119" s="72"/>
      <c r="L119" s="24"/>
      <c r="M119" s="73"/>
      <c r="N119" s="73"/>
      <c r="O119" s="73"/>
      <c r="P119" s="72"/>
      <c r="Q119" s="24"/>
      <c r="R119" s="73"/>
      <c r="S119" s="73"/>
      <c r="T119" s="73"/>
      <c r="U119" s="72"/>
      <c r="V119" s="24"/>
      <c r="W119" s="73"/>
      <c r="X119" s="73"/>
      <c r="Y119" s="73"/>
      <c r="Z119" s="72"/>
      <c r="AA119" s="24"/>
      <c r="AB119" s="73"/>
      <c r="AC119" s="73"/>
      <c r="AD119" s="73"/>
      <c r="AE119" s="72"/>
      <c r="AF119" s="24"/>
      <c r="AG119" s="73"/>
      <c r="AH119" s="73"/>
      <c r="AI119" s="73"/>
      <c r="AJ119" s="72"/>
      <c r="AK119" s="24"/>
      <c r="AL119" s="73"/>
      <c r="AM119" s="73"/>
      <c r="AN119" s="73"/>
      <c r="AO119" s="72"/>
      <c r="AP119" s="24"/>
      <c r="AQ119" s="73"/>
      <c r="AR119" s="73"/>
      <c r="AS119" s="73"/>
      <c r="AT119" s="72"/>
      <c r="AU119" s="24"/>
      <c r="AV119" s="73"/>
      <c r="AW119" s="73"/>
      <c r="AX119" s="73"/>
      <c r="AY119" s="72"/>
      <c r="AZ119" s="24"/>
      <c r="BA119" s="73"/>
    </row>
    <row r="120" spans="1:202">
      <c r="A120" s="69" t="s">
        <v>168</v>
      </c>
      <c r="B120" s="99" t="s">
        <v>53</v>
      </c>
      <c r="C120" s="80" t="s">
        <v>53</v>
      </c>
      <c r="D120" s="80" t="s">
        <v>53</v>
      </c>
      <c r="E120" s="80" t="s">
        <v>53</v>
      </c>
      <c r="F120" s="80" t="s">
        <v>53</v>
      </c>
      <c r="G120" s="99" t="s">
        <v>53</v>
      </c>
      <c r="H120" s="90">
        <v>3.6999999999999998E-2</v>
      </c>
      <c r="I120" s="90">
        <v>3.1E-2</v>
      </c>
      <c r="J120" s="90">
        <v>3.3000000000000002E-2</v>
      </c>
      <c r="K120" s="90">
        <v>3.2000000000000001E-2</v>
      </c>
      <c r="L120" s="39">
        <v>0.13300000000000001</v>
      </c>
      <c r="M120" s="90">
        <v>3.5000000000000003E-2</v>
      </c>
      <c r="N120" s="90">
        <v>3.1E-2</v>
      </c>
      <c r="O120" s="90">
        <v>3.3000000000000002E-2</v>
      </c>
      <c r="P120" s="90">
        <v>3.1E-2</v>
      </c>
      <c r="Q120" s="39">
        <v>0.13</v>
      </c>
      <c r="R120" s="90">
        <v>3.3000000000000002E-2</v>
      </c>
      <c r="S120" s="90">
        <v>2.9000000000000001E-2</v>
      </c>
      <c r="T120" s="90">
        <v>2.8000000000000001E-2</v>
      </c>
      <c r="U120" s="90">
        <v>2.8000000000000001E-2</v>
      </c>
      <c r="V120" s="39">
        <v>0.11899999999999999</v>
      </c>
      <c r="W120" s="90">
        <v>3.5999999999999997E-2</v>
      </c>
      <c r="X120" s="90">
        <v>3.9E-2</v>
      </c>
      <c r="Y120" s="90">
        <v>4.1000000000000002E-2</v>
      </c>
      <c r="Z120" s="90">
        <v>3.7999999999999999E-2</v>
      </c>
      <c r="AA120" s="143">
        <v>0.154</v>
      </c>
      <c r="AB120" s="90">
        <v>3.7999999999999999E-2</v>
      </c>
      <c r="AC120" s="90">
        <v>3.2000000000000001E-2</v>
      </c>
      <c r="AD120" s="90">
        <v>3.4000000000000002E-2</v>
      </c>
      <c r="AE120" s="90">
        <v>0.03</v>
      </c>
      <c r="AF120" s="143">
        <v>0.13500000000000001</v>
      </c>
      <c r="AG120" s="90">
        <v>3.5999999999999997E-2</v>
      </c>
      <c r="AH120" s="90">
        <v>3.1E-2</v>
      </c>
      <c r="AI120" s="90">
        <v>3.2000000000000001E-2</v>
      </c>
      <c r="AJ120" s="90">
        <v>2.9000000000000001E-2</v>
      </c>
      <c r="AK120" s="143">
        <v>0.128</v>
      </c>
      <c r="AL120" s="166">
        <v>3.4000000000000002E-2</v>
      </c>
      <c r="AM120" s="90">
        <v>3.1E-2</v>
      </c>
      <c r="AN120" s="90">
        <v>3.9E-2</v>
      </c>
      <c r="AO120" s="90">
        <v>3.5000000000000003E-2</v>
      </c>
      <c r="AP120" s="143">
        <v>0.13900000000000001</v>
      </c>
      <c r="AQ120" s="166">
        <v>4.2000000000000003E-2</v>
      </c>
      <c r="AR120" s="90">
        <v>3.5999999999999997E-2</v>
      </c>
      <c r="AS120" s="90">
        <v>4.4999999999999998E-2</v>
      </c>
      <c r="AT120" s="90">
        <v>3.6000000000000011E-2</v>
      </c>
      <c r="AU120" s="143">
        <v>0.159</v>
      </c>
      <c r="AV120" s="166">
        <v>4.2999999999999997E-2</v>
      </c>
      <c r="AW120" s="166">
        <v>3.7999999999999999E-2</v>
      </c>
      <c r="AX120" s="166">
        <v>4.8000000000000001E-2</v>
      </c>
      <c r="AY120" s="90">
        <v>5.8999999999999997E-2</v>
      </c>
      <c r="AZ120" s="143">
        <v>0.188</v>
      </c>
      <c r="BA120" s="166">
        <v>6.0999999999999999E-2</v>
      </c>
    </row>
    <row r="121" spans="1:202" ht="8.25" customHeight="1">
      <c r="A121" s="69"/>
      <c r="B121" s="99"/>
      <c r="C121" s="80"/>
      <c r="D121" s="80"/>
      <c r="E121" s="80"/>
      <c r="F121" s="80"/>
      <c r="G121" s="99"/>
      <c r="H121" s="90"/>
      <c r="I121" s="90"/>
      <c r="J121" s="90"/>
      <c r="K121" s="90"/>
      <c r="L121" s="39"/>
      <c r="M121" s="90"/>
      <c r="N121" s="90"/>
      <c r="O121" s="90"/>
      <c r="P121" s="90"/>
      <c r="Q121" s="39"/>
      <c r="R121" s="90"/>
      <c r="S121" s="90"/>
      <c r="T121" s="90"/>
      <c r="U121" s="90"/>
      <c r="V121" s="39"/>
      <c r="W121" s="90"/>
      <c r="X121" s="90"/>
      <c r="Y121" s="90"/>
      <c r="Z121" s="90"/>
      <c r="AA121" s="27"/>
      <c r="AB121" s="90"/>
      <c r="AC121" s="90"/>
      <c r="AD121" s="90"/>
      <c r="AE121" s="90"/>
      <c r="AF121" s="27"/>
      <c r="AG121" s="90"/>
      <c r="AH121" s="90"/>
      <c r="AI121" s="90"/>
      <c r="AJ121" s="90"/>
      <c r="AK121" s="27"/>
      <c r="AL121" s="90"/>
      <c r="AM121" s="90"/>
      <c r="AN121" s="90"/>
      <c r="AO121" s="90"/>
      <c r="AP121" s="27"/>
      <c r="AQ121" s="90"/>
      <c r="AR121" s="90"/>
      <c r="AS121" s="90"/>
      <c r="AT121" s="90"/>
      <c r="AU121" s="27"/>
      <c r="AV121" s="90"/>
      <c r="AW121" s="90"/>
      <c r="AX121" s="90"/>
      <c r="AY121" s="90"/>
      <c r="AZ121" s="27"/>
      <c r="BA121" s="90"/>
    </row>
    <row r="122" spans="1:202">
      <c r="A122" s="69" t="s">
        <v>18</v>
      </c>
      <c r="B122" s="99" t="s">
        <v>53</v>
      </c>
      <c r="C122" s="80"/>
      <c r="D122" s="80"/>
      <c r="E122" s="80"/>
      <c r="F122" s="80"/>
      <c r="G122" s="142">
        <v>1999</v>
      </c>
      <c r="H122" s="90"/>
      <c r="I122" s="90"/>
      <c r="J122" s="90"/>
      <c r="K122" s="90"/>
      <c r="L122" s="142">
        <v>2158</v>
      </c>
      <c r="M122" s="90"/>
      <c r="N122" s="90"/>
      <c r="O122" s="90"/>
      <c r="P122" s="90"/>
      <c r="Q122" s="142">
        <v>2229</v>
      </c>
      <c r="R122" s="120" t="s">
        <v>45</v>
      </c>
      <c r="S122" s="120" t="s">
        <v>45</v>
      </c>
      <c r="T122" s="120" t="s">
        <v>45</v>
      </c>
      <c r="U122" s="120" t="s">
        <v>45</v>
      </c>
      <c r="V122" s="142">
        <v>2227</v>
      </c>
      <c r="W122" s="120" t="s">
        <v>45</v>
      </c>
      <c r="X122" s="120" t="s">
        <v>45</v>
      </c>
      <c r="Y122" s="120" t="s">
        <v>45</v>
      </c>
      <c r="Z122" s="120" t="s">
        <v>45</v>
      </c>
      <c r="AA122" s="142">
        <v>2276</v>
      </c>
      <c r="AB122" s="120" t="s">
        <v>45</v>
      </c>
      <c r="AC122" s="120" t="s">
        <v>45</v>
      </c>
      <c r="AD122" s="120" t="s">
        <v>45</v>
      </c>
      <c r="AE122" s="120" t="s">
        <v>45</v>
      </c>
      <c r="AF122" s="142">
        <v>2208</v>
      </c>
      <c r="AG122" s="120" t="s">
        <v>45</v>
      </c>
      <c r="AH122" s="120" t="s">
        <v>45</v>
      </c>
      <c r="AI122" s="120" t="s">
        <v>45</v>
      </c>
      <c r="AJ122" s="70">
        <v>2042</v>
      </c>
      <c r="AK122" s="142">
        <v>2042</v>
      </c>
      <c r="AL122" s="120" t="s">
        <v>45</v>
      </c>
      <c r="AM122" s="120" t="s">
        <v>45</v>
      </c>
      <c r="AN122" s="120" t="s">
        <v>45</v>
      </c>
      <c r="AO122" s="70">
        <v>1984</v>
      </c>
      <c r="AP122" s="142">
        <v>1984</v>
      </c>
      <c r="AQ122" s="120" t="s">
        <v>45</v>
      </c>
      <c r="AR122" s="120" t="s">
        <v>45</v>
      </c>
      <c r="AS122" s="120" t="s">
        <v>45</v>
      </c>
      <c r="AT122" s="70">
        <v>1753</v>
      </c>
      <c r="AU122" s="142">
        <v>1753</v>
      </c>
      <c r="AV122" s="120" t="s">
        <v>45</v>
      </c>
      <c r="AW122" s="120" t="s">
        <v>45</v>
      </c>
      <c r="AX122" s="120" t="s">
        <v>45</v>
      </c>
      <c r="AY122" s="70">
        <v>1680</v>
      </c>
      <c r="AZ122" s="142">
        <v>1680</v>
      </c>
      <c r="BA122" s="120" t="s">
        <v>45</v>
      </c>
    </row>
    <row r="123" spans="1:202" ht="9" customHeight="1">
      <c r="A123" s="71" t="s">
        <v>8</v>
      </c>
      <c r="B123" s="24"/>
      <c r="C123" s="73"/>
      <c r="D123" s="73"/>
      <c r="E123" s="73"/>
      <c r="F123" s="73"/>
      <c r="G123" s="24"/>
      <c r="H123" s="73"/>
      <c r="I123" s="73"/>
      <c r="J123" s="73"/>
      <c r="K123" s="72"/>
      <c r="L123" s="24">
        <v>7.9539769884942491E-2</v>
      </c>
      <c r="M123" s="73"/>
      <c r="N123" s="73"/>
      <c r="O123" s="73"/>
      <c r="P123" s="72"/>
      <c r="Q123" s="24">
        <v>3.2900834105653365E-2</v>
      </c>
      <c r="R123" s="73"/>
      <c r="S123" s="73"/>
      <c r="T123" s="73"/>
      <c r="U123" s="72"/>
      <c r="V123" s="24">
        <v>-8.9726334679229858E-4</v>
      </c>
      <c r="W123" s="73"/>
      <c r="X123" s="73"/>
      <c r="Y123" s="73"/>
      <c r="Z123" s="72"/>
      <c r="AA123" s="24">
        <v>2.2002694207454043E-2</v>
      </c>
      <c r="AB123" s="73"/>
      <c r="AC123" s="73"/>
      <c r="AD123" s="73"/>
      <c r="AE123" s="72"/>
      <c r="AF123" s="24">
        <v>-2.9876977152899831E-2</v>
      </c>
      <c r="AG123" s="73"/>
      <c r="AH123" s="73"/>
      <c r="AI123" s="73"/>
      <c r="AJ123" s="72"/>
      <c r="AK123" s="24">
        <v>-7.51811594202898E-2</v>
      </c>
      <c r="AL123" s="73"/>
      <c r="AM123" s="73"/>
      <c r="AN123" s="73"/>
      <c r="AO123" s="72"/>
      <c r="AP123" s="24">
        <v>-2.8403525954946107E-2</v>
      </c>
      <c r="AQ123" s="73"/>
      <c r="AR123" s="73"/>
      <c r="AS123" s="73"/>
      <c r="AT123" s="72"/>
      <c r="AU123" s="24">
        <v>-0.11643145161290325</v>
      </c>
      <c r="AV123" s="73"/>
      <c r="AW123" s="73"/>
      <c r="AX123" s="73"/>
      <c r="AY123" s="72"/>
      <c r="AZ123" s="24">
        <v>-4.164289788933262E-2</v>
      </c>
      <c r="BA123" s="73"/>
    </row>
    <row r="124" spans="1:202" s="46" customFormat="1" ht="4.5" customHeight="1">
      <c r="A124" s="90"/>
      <c r="B124" s="167"/>
      <c r="C124" s="90"/>
      <c r="D124" s="90"/>
      <c r="E124" s="90"/>
      <c r="F124" s="90"/>
      <c r="G124" s="167"/>
      <c r="H124" s="167"/>
      <c r="I124" s="167"/>
      <c r="J124" s="167"/>
      <c r="K124" s="167"/>
      <c r="L124" s="167"/>
      <c r="M124" s="167"/>
      <c r="N124" s="167"/>
      <c r="O124" s="167"/>
      <c r="P124" s="167"/>
      <c r="Q124" s="167"/>
      <c r="R124" s="167"/>
      <c r="S124" s="167"/>
      <c r="T124" s="167"/>
      <c r="U124" s="167"/>
      <c r="V124" s="167"/>
      <c r="W124" s="167"/>
      <c r="X124" s="167"/>
      <c r="Y124" s="167"/>
      <c r="Z124" s="167"/>
      <c r="AA124" s="167"/>
      <c r="AB124" s="90"/>
      <c r="AC124" s="90"/>
      <c r="AD124" s="90"/>
      <c r="AE124" s="90"/>
      <c r="AF124" s="167"/>
      <c r="AG124" s="90"/>
      <c r="AH124" s="90"/>
      <c r="AI124" s="90"/>
      <c r="AJ124" s="90"/>
      <c r="AK124" s="167"/>
      <c r="AL124" s="90"/>
      <c r="AM124" s="90"/>
      <c r="AN124" s="90"/>
      <c r="AO124" s="90"/>
      <c r="AP124" s="167"/>
      <c r="AQ124" s="90"/>
      <c r="AR124" s="90"/>
      <c r="AS124" s="90"/>
      <c r="AT124" s="90"/>
      <c r="AU124" s="167"/>
      <c r="AV124" s="90"/>
      <c r="AW124" s="90"/>
      <c r="AX124" s="90"/>
      <c r="AY124" s="90"/>
      <c r="AZ124" s="167"/>
      <c r="BA124" s="90"/>
      <c r="BB124" s="25"/>
      <c r="BC124" s="25"/>
      <c r="BD124" s="25"/>
      <c r="BE124" s="25"/>
      <c r="BF124" s="25"/>
      <c r="BG124" s="25"/>
      <c r="BH124" s="25"/>
      <c r="BI124" s="25"/>
      <c r="BJ124" s="25"/>
      <c r="BK124" s="25"/>
      <c r="BL124" s="25"/>
      <c r="BM124" s="25"/>
      <c r="BN124" s="25"/>
      <c r="BO124" s="25"/>
      <c r="BP124" s="25"/>
      <c r="BQ124" s="25"/>
      <c r="BR124" s="25"/>
      <c r="BS124" s="25"/>
      <c r="BT124" s="25"/>
      <c r="BU124" s="25"/>
      <c r="BV124" s="25"/>
      <c r="BW124" s="25"/>
      <c r="BX124" s="25"/>
      <c r="BY124" s="25"/>
      <c r="BZ124" s="25"/>
      <c r="CA124" s="25"/>
      <c r="CB124" s="25"/>
      <c r="CC124" s="25"/>
      <c r="CD124" s="25"/>
      <c r="CE124" s="25"/>
      <c r="CF124" s="25"/>
      <c r="CG124" s="25"/>
      <c r="CH124" s="25"/>
      <c r="CI124" s="25"/>
      <c r="CJ124" s="25"/>
      <c r="CK124" s="25"/>
      <c r="CL124" s="25"/>
      <c r="CM124" s="25"/>
      <c r="CN124" s="25"/>
      <c r="CO124" s="25"/>
      <c r="CP124" s="25"/>
      <c r="CQ124" s="25"/>
      <c r="CR124" s="25"/>
      <c r="CS124" s="25"/>
      <c r="CT124" s="25"/>
      <c r="CU124" s="25"/>
      <c r="CV124" s="25"/>
      <c r="CW124" s="25"/>
      <c r="CX124" s="25"/>
      <c r="CY124" s="25"/>
      <c r="CZ124" s="25"/>
      <c r="DA124" s="25"/>
      <c r="DB124" s="25"/>
      <c r="DC124" s="25"/>
      <c r="DD124" s="25"/>
      <c r="DE124" s="25"/>
      <c r="DF124" s="25"/>
      <c r="DG124" s="25"/>
      <c r="DH124" s="25"/>
      <c r="DI124" s="25"/>
      <c r="DJ124" s="25"/>
      <c r="DK124" s="25"/>
      <c r="DL124" s="25"/>
      <c r="DM124" s="25"/>
      <c r="DN124" s="25"/>
      <c r="DO124" s="25"/>
      <c r="DP124" s="25"/>
      <c r="DQ124" s="25"/>
      <c r="DR124" s="25"/>
      <c r="DS124" s="25"/>
      <c r="DT124" s="25"/>
      <c r="DU124" s="25"/>
      <c r="DV124" s="25"/>
      <c r="DW124" s="25"/>
      <c r="DX124" s="25"/>
      <c r="DY124" s="25"/>
      <c r="DZ124" s="25"/>
      <c r="EA124" s="25"/>
      <c r="EB124" s="25"/>
      <c r="EC124" s="25"/>
      <c r="ED124" s="25"/>
      <c r="EE124" s="25"/>
      <c r="EF124" s="25"/>
      <c r="EG124" s="25"/>
      <c r="EH124" s="25"/>
      <c r="EI124" s="25"/>
      <c r="EJ124" s="25"/>
      <c r="EK124" s="25"/>
      <c r="EL124" s="25"/>
      <c r="EM124" s="25"/>
      <c r="EN124" s="25"/>
      <c r="EO124" s="25"/>
      <c r="EP124" s="25"/>
      <c r="EQ124" s="25"/>
      <c r="ER124" s="25"/>
      <c r="ES124" s="25"/>
      <c r="ET124" s="25"/>
      <c r="EU124" s="25"/>
      <c r="EV124" s="25"/>
      <c r="EW124" s="25"/>
      <c r="EX124" s="25"/>
      <c r="EY124" s="25"/>
      <c r="EZ124" s="25"/>
      <c r="FA124" s="25"/>
      <c r="FB124" s="25"/>
      <c r="FC124" s="25"/>
      <c r="FD124" s="25"/>
      <c r="FE124" s="25"/>
      <c r="FF124" s="25"/>
      <c r="FG124" s="25"/>
      <c r="FH124" s="25"/>
      <c r="FI124" s="25"/>
      <c r="FJ124" s="25"/>
      <c r="FK124" s="25"/>
      <c r="FL124" s="25"/>
      <c r="FM124" s="25"/>
      <c r="FN124" s="25"/>
      <c r="FO124" s="25"/>
      <c r="FP124" s="25"/>
      <c r="FQ124" s="25"/>
      <c r="FR124" s="25"/>
      <c r="FS124" s="25"/>
      <c r="FT124" s="25"/>
      <c r="FU124" s="25"/>
      <c r="FV124" s="25"/>
      <c r="FW124" s="25"/>
      <c r="FX124" s="25"/>
      <c r="FY124" s="25"/>
      <c r="FZ124" s="25"/>
      <c r="GA124" s="25"/>
      <c r="GB124" s="25"/>
      <c r="GC124" s="25"/>
      <c r="GD124" s="25"/>
      <c r="GE124" s="25"/>
      <c r="GF124" s="25"/>
      <c r="GG124" s="25"/>
      <c r="GH124" s="25"/>
      <c r="GI124" s="25"/>
      <c r="GJ124" s="25"/>
      <c r="GK124" s="25"/>
      <c r="GL124" s="25"/>
      <c r="GM124" s="25"/>
      <c r="GN124" s="25"/>
      <c r="GO124" s="25"/>
      <c r="GP124" s="25"/>
      <c r="GQ124" s="25"/>
      <c r="GR124" s="25"/>
      <c r="GS124" s="25"/>
      <c r="GT124" s="25"/>
    </row>
    <row r="125" spans="1:202" s="168" customFormat="1" ht="14.25" customHeight="1">
      <c r="A125" s="69" t="s">
        <v>165</v>
      </c>
      <c r="B125" s="167">
        <v>0.37</v>
      </c>
      <c r="C125" s="73"/>
      <c r="D125" s="73"/>
      <c r="E125" s="73"/>
      <c r="F125" s="73"/>
      <c r="G125" s="167">
        <v>0.38</v>
      </c>
      <c r="H125" s="167"/>
      <c r="I125" s="167"/>
      <c r="J125" s="167"/>
      <c r="K125" s="167"/>
      <c r="L125" s="167">
        <v>0.38</v>
      </c>
      <c r="M125" s="167"/>
      <c r="N125" s="167"/>
      <c r="O125" s="167"/>
      <c r="P125" s="167"/>
      <c r="Q125" s="167">
        <v>0.39</v>
      </c>
      <c r="R125" s="167"/>
      <c r="S125" s="167"/>
      <c r="T125" s="167"/>
      <c r="U125" s="167"/>
      <c r="V125" s="167">
        <v>0.4</v>
      </c>
      <c r="W125" s="167"/>
      <c r="X125" s="167"/>
      <c r="Y125" s="167"/>
      <c r="Z125" s="167"/>
      <c r="AA125" s="167">
        <v>0.39</v>
      </c>
      <c r="AB125" s="73"/>
      <c r="AC125" s="73"/>
      <c r="AD125" s="73"/>
      <c r="AE125" s="73"/>
      <c r="AF125" s="167">
        <v>0.4</v>
      </c>
      <c r="AG125" s="120" t="s">
        <v>45</v>
      </c>
      <c r="AH125" s="120" t="s">
        <v>45</v>
      </c>
      <c r="AI125" s="120" t="s">
        <v>45</v>
      </c>
      <c r="AJ125" s="120" t="s">
        <v>45</v>
      </c>
      <c r="AK125" s="167">
        <v>0.42</v>
      </c>
      <c r="AL125" s="120" t="s">
        <v>45</v>
      </c>
      <c r="AM125" s="120" t="s">
        <v>45</v>
      </c>
      <c r="AN125" s="120" t="s">
        <v>45</v>
      </c>
      <c r="AO125" s="120" t="s">
        <v>45</v>
      </c>
      <c r="AP125" s="167">
        <v>0.42</v>
      </c>
      <c r="AQ125" s="120" t="s">
        <v>45</v>
      </c>
      <c r="AR125" s="120" t="s">
        <v>45</v>
      </c>
      <c r="AS125" s="120" t="s">
        <v>45</v>
      </c>
      <c r="AT125" s="120" t="s">
        <v>45</v>
      </c>
      <c r="AU125" s="167">
        <v>0.4</v>
      </c>
      <c r="AV125" s="120" t="s">
        <v>45</v>
      </c>
      <c r="AW125" s="120" t="s">
        <v>45</v>
      </c>
      <c r="AX125" s="120" t="s">
        <v>45</v>
      </c>
      <c r="AY125" s="120" t="s">
        <v>45</v>
      </c>
      <c r="AZ125" s="167">
        <v>0.37</v>
      </c>
      <c r="BA125" s="120" t="s">
        <v>45</v>
      </c>
      <c r="BB125" s="25"/>
      <c r="BC125" s="25"/>
      <c r="BD125" s="25"/>
      <c r="BE125" s="25"/>
      <c r="BF125" s="25"/>
      <c r="BG125" s="25"/>
      <c r="BH125" s="25"/>
      <c r="BI125" s="25"/>
      <c r="BJ125" s="25"/>
      <c r="BK125" s="25"/>
      <c r="BL125" s="25"/>
      <c r="BM125" s="25"/>
      <c r="BN125" s="25"/>
      <c r="BO125" s="25"/>
      <c r="BP125" s="25"/>
      <c r="BQ125" s="25"/>
      <c r="BR125" s="25"/>
      <c r="BS125" s="25"/>
      <c r="BT125" s="25"/>
      <c r="BU125" s="25"/>
      <c r="BV125" s="25"/>
      <c r="BW125" s="25"/>
      <c r="BX125" s="25"/>
      <c r="BY125" s="25"/>
      <c r="BZ125" s="25"/>
      <c r="CA125" s="25"/>
      <c r="CB125" s="25"/>
      <c r="CC125" s="25"/>
      <c r="CD125" s="25"/>
      <c r="CE125" s="25"/>
      <c r="CF125" s="25"/>
      <c r="CG125" s="25"/>
      <c r="CH125" s="25"/>
      <c r="CI125" s="25"/>
      <c r="CJ125" s="25"/>
      <c r="CK125" s="25"/>
      <c r="CL125" s="25"/>
      <c r="CM125" s="25"/>
      <c r="CN125" s="25"/>
      <c r="CO125" s="25"/>
      <c r="CP125" s="25"/>
      <c r="CQ125" s="25"/>
      <c r="CR125" s="25"/>
      <c r="CS125" s="25"/>
      <c r="CT125" s="25"/>
      <c r="CU125" s="25"/>
      <c r="CV125" s="25"/>
      <c r="CW125" s="25"/>
      <c r="CX125" s="25"/>
      <c r="CY125" s="25"/>
      <c r="CZ125" s="25"/>
      <c r="DA125" s="25"/>
      <c r="DB125" s="25"/>
      <c r="DC125" s="25"/>
      <c r="DD125" s="25"/>
      <c r="DE125" s="25"/>
      <c r="DF125" s="25"/>
      <c r="DG125" s="25"/>
      <c r="DH125" s="25"/>
      <c r="DI125" s="25"/>
      <c r="DJ125" s="25"/>
      <c r="DK125" s="25"/>
      <c r="DL125" s="25"/>
      <c r="DM125" s="25"/>
      <c r="DN125" s="25"/>
      <c r="DO125" s="25"/>
      <c r="DP125" s="25"/>
      <c r="DQ125" s="25"/>
      <c r="DR125" s="25"/>
      <c r="DS125" s="25"/>
      <c r="DT125" s="25"/>
      <c r="DU125" s="25"/>
      <c r="DV125" s="25"/>
      <c r="DW125" s="25"/>
      <c r="DX125" s="25"/>
      <c r="DY125" s="25"/>
      <c r="DZ125" s="25"/>
      <c r="EA125" s="25"/>
      <c r="EB125" s="25"/>
      <c r="EC125" s="25"/>
      <c r="ED125" s="25"/>
      <c r="EE125" s="25"/>
      <c r="EF125" s="25"/>
      <c r="EG125" s="25"/>
      <c r="EH125" s="25"/>
      <c r="EI125" s="25"/>
      <c r="EJ125" s="25"/>
      <c r="EK125" s="25"/>
      <c r="EL125" s="25"/>
      <c r="EM125" s="25"/>
      <c r="EN125" s="25"/>
      <c r="EO125" s="25"/>
      <c r="EP125" s="25"/>
      <c r="EQ125" s="25"/>
      <c r="ER125" s="25"/>
      <c r="ES125" s="25"/>
      <c r="ET125" s="25"/>
      <c r="EU125" s="25"/>
      <c r="EV125" s="25"/>
      <c r="EW125" s="25"/>
      <c r="EX125" s="25"/>
      <c r="EY125" s="25"/>
      <c r="EZ125" s="25"/>
      <c r="FA125" s="25"/>
      <c r="FB125" s="25"/>
      <c r="FC125" s="25"/>
      <c r="FD125" s="25"/>
      <c r="FE125" s="25"/>
      <c r="FF125" s="25"/>
      <c r="FG125" s="25"/>
      <c r="FH125" s="25"/>
      <c r="FI125" s="25"/>
      <c r="FJ125" s="25"/>
      <c r="FK125" s="25"/>
      <c r="FL125" s="25"/>
      <c r="FM125" s="25"/>
      <c r="FN125" s="25"/>
      <c r="FO125" s="25"/>
      <c r="FP125" s="25"/>
      <c r="FQ125" s="25"/>
      <c r="FR125" s="25"/>
      <c r="FS125" s="25"/>
      <c r="FT125" s="25"/>
      <c r="FU125" s="25"/>
      <c r="FV125" s="25"/>
      <c r="FW125" s="25"/>
      <c r="FX125" s="25"/>
      <c r="FY125" s="25"/>
      <c r="FZ125" s="25"/>
      <c r="GA125" s="25"/>
      <c r="GB125" s="25"/>
      <c r="GC125" s="25"/>
      <c r="GD125" s="25"/>
      <c r="GE125" s="25"/>
      <c r="GF125" s="25"/>
      <c r="GG125" s="25"/>
      <c r="GH125" s="25"/>
      <c r="GI125" s="25"/>
      <c r="GJ125" s="25"/>
      <c r="GK125" s="25"/>
      <c r="GL125" s="25"/>
      <c r="GM125" s="25"/>
      <c r="GN125" s="25"/>
      <c r="GO125" s="25"/>
      <c r="GP125" s="25"/>
      <c r="GQ125" s="25"/>
      <c r="GR125" s="25"/>
      <c r="GS125" s="25"/>
      <c r="GT125" s="25"/>
    </row>
    <row r="126" spans="1:202" ht="5.25" customHeight="1">
      <c r="A126" s="94"/>
      <c r="B126" s="46"/>
      <c r="C126" s="46"/>
      <c r="D126" s="46"/>
      <c r="E126" s="46"/>
      <c r="F126" s="46"/>
      <c r="G126" s="46"/>
      <c r="H126" s="46"/>
      <c r="I126" s="46"/>
      <c r="J126" s="46"/>
      <c r="K126" s="46"/>
      <c r="L126" s="46"/>
      <c r="M126" s="46"/>
      <c r="N126" s="46"/>
      <c r="O126" s="46"/>
      <c r="P126" s="46"/>
      <c r="Q126" s="46"/>
      <c r="R126" s="46"/>
      <c r="S126" s="46"/>
      <c r="T126" s="46"/>
      <c r="U126" s="46"/>
      <c r="V126" s="46"/>
      <c r="W126" s="46"/>
      <c r="X126" s="46"/>
      <c r="Y126" s="46"/>
      <c r="Z126" s="46"/>
      <c r="AA126" s="46"/>
      <c r="AB126" s="46"/>
      <c r="AC126" s="46"/>
      <c r="AD126" s="46"/>
      <c r="AE126" s="46"/>
      <c r="AF126" s="46"/>
      <c r="AG126" s="46"/>
      <c r="AH126" s="46"/>
      <c r="AI126" s="46"/>
      <c r="AJ126" s="46"/>
      <c r="AK126" s="46"/>
      <c r="AL126" s="46"/>
      <c r="AM126" s="46"/>
      <c r="AN126" s="46"/>
      <c r="AO126" s="46"/>
      <c r="AP126" s="46"/>
      <c r="AQ126" s="46"/>
      <c r="AR126" s="46"/>
      <c r="AS126" s="46"/>
      <c r="AT126" s="46"/>
      <c r="AU126" s="46"/>
      <c r="AV126" s="46"/>
      <c r="AW126" s="46"/>
      <c r="AX126" s="46"/>
      <c r="AY126" s="46"/>
      <c r="AZ126" s="46"/>
      <c r="BA126" s="46"/>
    </row>
    <row r="157" spans="14:15">
      <c r="N157" s="1">
        <v>340</v>
      </c>
      <c r="O157" s="1">
        <v>347.37700000000001</v>
      </c>
    </row>
    <row r="163" spans="3:52" customFormat="1"/>
    <row r="164" spans="3:52" customFormat="1"/>
    <row r="165" spans="3:52" customFormat="1"/>
    <row r="166" spans="3:52">
      <c r="AK166"/>
      <c r="AL166"/>
      <c r="AM166"/>
      <c r="AN166"/>
      <c r="AO166"/>
      <c r="AP166"/>
      <c r="AQ166"/>
      <c r="AR166"/>
      <c r="AS166"/>
      <c r="AT166"/>
      <c r="AU166"/>
      <c r="AV166"/>
      <c r="AW166"/>
      <c r="AX166"/>
      <c r="AY166"/>
      <c r="AZ166"/>
    </row>
    <row r="167" spans="3:52">
      <c r="AK167"/>
      <c r="AL167"/>
      <c r="AM167"/>
      <c r="AN167"/>
      <c r="AO167"/>
      <c r="AP167"/>
      <c r="AQ167"/>
      <c r="AR167"/>
      <c r="AS167"/>
      <c r="AT167"/>
      <c r="AU167"/>
      <c r="AV167"/>
      <c r="AW167"/>
      <c r="AX167"/>
      <c r="AY167"/>
      <c r="AZ167"/>
    </row>
    <row r="168" spans="3:52">
      <c r="C168"/>
      <c r="D168"/>
      <c r="E168"/>
      <c r="F168"/>
      <c r="G168"/>
      <c r="H168"/>
      <c r="I168"/>
      <c r="J168"/>
      <c r="K168"/>
      <c r="L168"/>
      <c r="M168"/>
      <c r="N168"/>
      <c r="O168"/>
      <c r="P168"/>
      <c r="Q168"/>
      <c r="R168"/>
      <c r="S168"/>
      <c r="T168"/>
      <c r="U168"/>
      <c r="V168"/>
      <c r="W168"/>
      <c r="X168"/>
      <c r="Y168"/>
      <c r="Z168"/>
      <c r="AA168"/>
      <c r="AB168"/>
      <c r="AC168"/>
      <c r="AD168"/>
      <c r="AE168"/>
      <c r="AF168"/>
      <c r="AG168"/>
      <c r="AH168"/>
      <c r="AI168"/>
      <c r="AJ168"/>
      <c r="AK168"/>
      <c r="AL168"/>
      <c r="AM168"/>
      <c r="AN168"/>
      <c r="AO168"/>
      <c r="AP168"/>
      <c r="AQ168"/>
      <c r="AR168"/>
      <c r="AS168"/>
      <c r="AT168"/>
      <c r="AU168"/>
      <c r="AV168"/>
      <c r="AW168"/>
      <c r="AX168"/>
      <c r="AY168"/>
      <c r="AZ168"/>
    </row>
    <row r="169" spans="3:52">
      <c r="C169"/>
      <c r="D169"/>
      <c r="E169"/>
      <c r="F169"/>
      <c r="G169"/>
      <c r="H169"/>
      <c r="I169"/>
      <c r="J169"/>
      <c r="K169"/>
      <c r="L169"/>
      <c r="M169"/>
      <c r="N169"/>
      <c r="O169"/>
      <c r="P169"/>
      <c r="Q169"/>
      <c r="R169"/>
      <c r="S169"/>
      <c r="T169"/>
      <c r="U169"/>
      <c r="V169"/>
      <c r="W169"/>
      <c r="X169"/>
      <c r="Y169"/>
      <c r="Z169"/>
      <c r="AA169"/>
      <c r="AB169"/>
      <c r="AC169"/>
      <c r="AD169"/>
      <c r="AE169"/>
      <c r="AF169"/>
      <c r="AG169"/>
      <c r="AH169"/>
      <c r="AI169"/>
      <c r="AJ169"/>
      <c r="AK169"/>
      <c r="AL169"/>
      <c r="AM169"/>
      <c r="AN169"/>
      <c r="AO169"/>
      <c r="AP169"/>
      <c r="AQ169"/>
      <c r="AR169"/>
      <c r="AS169"/>
      <c r="AT169"/>
      <c r="AU169"/>
      <c r="AV169"/>
      <c r="AW169"/>
      <c r="AX169"/>
      <c r="AY169"/>
      <c r="AZ169"/>
    </row>
    <row r="170" spans="3:52">
      <c r="AK170" s="1">
        <v>1980</v>
      </c>
    </row>
    <row r="173" spans="3:52">
      <c r="AK173" s="1">
        <f>1793-478</f>
        <v>1315</v>
      </c>
    </row>
    <row r="182" spans="33:44">
      <c r="AK182" s="1">
        <v>-23</v>
      </c>
    </row>
    <row r="187" spans="33:44">
      <c r="AR187" s="1">
        <v>59</v>
      </c>
    </row>
    <row r="192" spans="33:44">
      <c r="AG192" s="1">
        <v>616</v>
      </c>
    </row>
    <row r="198" spans="20:33">
      <c r="AG198" s="1">
        <f>18.765+190.909</f>
        <v>209.67399999999998</v>
      </c>
    </row>
    <row r="201" spans="20:33">
      <c r="AG201" s="1">
        <f>AG198-27</f>
        <v>182.67399999999998</v>
      </c>
    </row>
    <row r="203" spans="20:33">
      <c r="T203" s="1">
        <v>405.46800000000002</v>
      </c>
    </row>
    <row r="206" spans="20:33">
      <c r="T206" s="1">
        <v>63.363999999999997</v>
      </c>
    </row>
    <row r="209" spans="15:20">
      <c r="T209" s="1">
        <v>-75.885000000000005</v>
      </c>
    </row>
    <row r="212" spans="15:20">
      <c r="T212" s="1">
        <v>74.073999999999998</v>
      </c>
    </row>
    <row r="220" spans="15:20">
      <c r="O220" s="1">
        <v>126.117</v>
      </c>
      <c r="T220" s="1">
        <v>134.20099999999999</v>
      </c>
    </row>
    <row r="225" spans="15:23">
      <c r="W225" s="1">
        <v>118</v>
      </c>
    </row>
    <row r="226" spans="15:23">
      <c r="O226" s="1">
        <f>52.441+2.5+9.771</f>
        <v>64.712000000000003</v>
      </c>
      <c r="T226" s="1">
        <f>51.634+6.428+9.274</f>
        <v>67.335999999999999</v>
      </c>
    </row>
    <row r="227" spans="15:23">
      <c r="W227" s="122">
        <v>-9.1999999999999998E-2</v>
      </c>
    </row>
    <row r="229" spans="15:23">
      <c r="T229" s="1">
        <f>T226-0.156</f>
        <v>67.179999999999993</v>
      </c>
    </row>
    <row r="399" spans="31:36">
      <c r="AE399" s="1">
        <v>131</v>
      </c>
      <c r="AJ399" s="1">
        <v>135</v>
      </c>
    </row>
    <row r="401" spans="31:37">
      <c r="AJ401" s="122">
        <v>3.5000000000000003E-2</v>
      </c>
    </row>
    <row r="404" spans="31:37">
      <c r="AE404" s="1">
        <v>134</v>
      </c>
      <c r="AF404" s="1">
        <v>491</v>
      </c>
    </row>
    <row r="406" spans="31:37">
      <c r="AJ406" s="122">
        <v>-8.7999999999999995E-2</v>
      </c>
      <c r="AK406" s="122">
        <v>-0.10100000000000001</v>
      </c>
    </row>
    <row r="416" spans="31:37">
      <c r="AF416" s="1">
        <v>167</v>
      </c>
      <c r="AJ416" s="1">
        <v>27</v>
      </c>
      <c r="AK416" s="1">
        <v>138</v>
      </c>
    </row>
    <row r="418" spans="31:37">
      <c r="AJ418" s="122">
        <v>-0.47899999999999998</v>
      </c>
      <c r="AK418" s="122">
        <v>-0.17799999999999999</v>
      </c>
    </row>
    <row r="424" spans="31:37">
      <c r="AE424" s="122">
        <v>0.313</v>
      </c>
    </row>
  </sheetData>
  <customSheetViews>
    <customSheetView guid="{C6BBAF30-1E81-42FB-BA93-01B6813E2C8C}" showPageBreaks="1" printArea="1" showRuler="0">
      <pane xSplit="1" ySplit="5" topLeftCell="B6" activePane="bottomRight" state="frozenSplit"/>
      <selection pane="bottomRight"/>
      <rowBreaks count="1" manualBreakCount="1">
        <brk id="39" max="14" man="1"/>
      </rowBreaks>
      <pageMargins left="0.7" right="0.7" top="0.75" bottom="0.75" header="0.3" footer="0.3"/>
      <printOptions horizontalCentered="1"/>
      <pageSetup paperSize="9" scale="78" fitToHeight="7" orientation="landscape"/>
      <headerFooter alignWithMargins="0">
        <oddHeader>&amp;C&amp;12Bezeq - The Israel Telecommunication Corp. Ltd</oddHeader>
        <oddFooter>&amp;R&amp;P of &amp;N
KPIs</oddFooter>
      </headerFooter>
    </customSheetView>
    <customSheetView guid="{F07085DA-2B2D-4BE1-891D-F25D604A092E}" showPageBreaks="1" printArea="1" showRuler="0">
      <pane xSplit="1" ySplit="5" topLeftCell="B6" activePane="bottomRight" state="frozenSplit"/>
      <selection pane="bottomRight" activeCell="A77" sqref="A77"/>
      <rowBreaks count="1" manualBreakCount="1">
        <brk id="41" max="12" man="1"/>
      </rowBreaks>
      <pageMargins left="0.7" right="0.7" top="0.75" bottom="0.75" header="0.3" footer="0.3"/>
      <pageSetup paperSize="9" scale="65" orientation="landscape"/>
      <headerFooter alignWithMargins="0">
        <oddHeader>&amp;C&amp;12Bezeq - The Israel Telecommunication Corp. Ltd</oddHeader>
        <oddFooter>&amp;R&amp;P of &amp;N
KPIs</oddFooter>
      </headerFooter>
    </customSheetView>
    <customSheetView guid="{6A44E415-E6EC-4CA2-8B4C-A374F00F0261}" showPageBreaks="1" printArea="1" showRuler="0">
      <pane xSplit="1" ySplit="5" topLeftCell="B6" activePane="bottomRight" state="frozenSplit"/>
      <selection pane="bottomRight" activeCell="B6" sqref="B6"/>
      <rowBreaks count="1" manualBreakCount="1">
        <brk id="41" max="18" man="1"/>
      </rowBreaks>
      <pageMargins left="0.7" right="0.7" top="0.75" bottom="0.75" header="0.3" footer="0.3"/>
      <pageSetup paperSize="9" scale="70" orientation="landscape"/>
      <headerFooter alignWithMargins="0">
        <oddHeader>&amp;C&amp;12Bezeq - The Israel Telecommunication Corp. Ltd</oddHeader>
        <oddFooter>&amp;R&amp;P of &amp;N
KPIs</oddFooter>
      </headerFooter>
    </customSheetView>
    <customSheetView guid="{C32ED439-2914-4073-BFBF-7718D6CFE811}" showPageBreaks="1" showGridLines="0" printArea="1">
      <pane xSplit="1" ySplit="5" topLeftCell="K6" activePane="bottomRight" state="frozenSplit"/>
      <selection pane="bottomRight" activeCell="S89" sqref="S89"/>
      <rowBreaks count="2" manualBreakCount="2">
        <brk id="44" max="17" man="1"/>
        <brk id="310" max="16383" man="1"/>
      </rowBreaks>
      <pageMargins left="0.7" right="0.7" top="0.75" bottom="0.75" header="0.3" footer="0.3"/>
      <pageSetup paperSize="9" scale="65" orientation="landscape"/>
      <headerFooter alignWithMargins="0">
        <oddHeader>&amp;C&amp;12Bezeq - The Israel Telecommunication Corp. Ltd</oddHeader>
        <oddFooter>&amp;R&amp;P of &amp;N
KPIs</oddFooter>
      </headerFooter>
    </customSheetView>
    <customSheetView guid="{44BC518B-F505-4956-BE42-792973965029}" showPageBreaks="1" showGridLines="0" printArea="1" showRuler="0">
      <pane xSplit="1" ySplit="5" topLeftCell="B64" activePane="bottomRight" state="frozenSplit"/>
      <selection pane="bottomRight" activeCell="M263" sqref="M263"/>
      <rowBreaks count="2" manualBreakCount="2">
        <brk id="44" max="17" man="1"/>
        <brk id="318" max="16383" man="1"/>
      </rowBreaks>
      <pageMargins left="0.7" right="0.7" top="0.75" bottom="0.75" header="0.3" footer="0.3"/>
      <pageSetup paperSize="9" scale="65" orientation="landscape"/>
      <headerFooter alignWithMargins="0">
        <oddHeader>&amp;C&amp;12Bezeq - The Israel Telecommunication Corp. Ltd</oddHeader>
        <oddFooter>&amp;R&amp;P of &amp;N
KPIs</oddFooter>
      </headerFooter>
    </customSheetView>
    <customSheetView guid="{7DC6D345-C4C0-4162-8636-D495A245EBF8}" scale="97" showPageBreaks="1" showGridLines="0" printArea="1" hiddenColumns="1">
      <pane xSplit="5" ySplit="4" topLeftCell="Y51" activePane="bottomRight" state="frozenSplit"/>
      <selection pane="bottomRight" activeCell="AC51" sqref="AC51"/>
      <rowBreaks count="2" manualBreakCount="2">
        <brk id="42" max="29" man="1"/>
        <brk id="313" max="16383" man="1"/>
      </rowBreaks>
      <pageMargins left="0.7" right="0.7" top="0.75" bottom="0.75" header="0.3" footer="0.3"/>
      <pageSetup paperSize="9" scale="65" orientation="landscape"/>
      <headerFooter alignWithMargins="0">
        <oddHeader>&amp;C&amp;12Bezeq - The Israel Telecommunication Corp. Ltd</oddHeader>
        <oddFooter>&amp;R&amp;P of &amp;N
KPIs</oddFooter>
      </headerFooter>
    </customSheetView>
    <customSheetView guid="{67DDFA58-7FF7-4BDB-BFFF-31DB4021D095}" scale="97" showGridLines="0" hiddenColumns="1">
      <pane xSplit="5" ySplit="4" topLeftCell="Y51" activePane="bottomRight" state="frozenSplit"/>
      <selection pane="bottomRight" activeCell="AC51" sqref="AC51"/>
      <rowBreaks count="2" manualBreakCount="2">
        <brk id="42" max="29" man="1"/>
        <brk id="313" max="16383" man="1"/>
      </rowBreaks>
      <pageMargins left="0.7" right="0.7" top="0.75" bottom="0.75" header="0.3" footer="0.3"/>
      <pageSetup paperSize="9" scale="65" orientation="landscape"/>
      <headerFooter alignWithMargins="0">
        <oddHeader>&amp;C&amp;12Bezeq - The Israel Telecommunication Corp. Ltd</oddHeader>
        <oddFooter>&amp;R&amp;P of &amp;N
KPIs</oddFooter>
      </headerFooter>
    </customSheetView>
  </customSheetViews>
  <phoneticPr fontId="4" type="noConversion"/>
  <pageMargins left="0.39370078740157483" right="0.19685039370078741" top="0.98425196850393704" bottom="0.39370078740157483" header="0.51181102362204722" footer="0.19685039370078741"/>
  <pageSetup paperSize="9" scale="68" orientation="landscape" r:id="rId1"/>
  <headerFooter alignWithMargins="0">
    <oddHeader>&amp;C&amp;12Bezeq - The Israel Telecommunication Corp. Ltd</oddHeader>
    <oddFooter>&amp;R&amp;P of &amp;N
KPIs</oddFooter>
  </headerFooter>
  <rowBreaks count="2" manualBreakCount="2">
    <brk id="63" max="52" man="1"/>
    <brk id="293" max="16383" man="1"/>
  </rowBreaks>
  <drawing r:id="rId2"/>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V44"/>
  <sheetViews>
    <sheetView showGridLines="0" tabSelected="1" view="pageBreakPreview" zoomScaleSheetLayoutView="100" workbookViewId="0">
      <selection activeCell="F17" sqref="F17"/>
    </sheetView>
  </sheetViews>
  <sheetFormatPr defaultColWidth="8.7109375" defaultRowHeight="12.75"/>
  <cols>
    <col min="1" max="1" width="25.42578125" style="104" customWidth="1"/>
    <col min="2" max="2" width="19.28515625" style="104" customWidth="1"/>
    <col min="3" max="3" width="23.28515625" style="104" customWidth="1"/>
    <col min="4" max="4" width="49.28515625" style="132" customWidth="1"/>
    <col min="5" max="5" width="29.42578125" style="104" customWidth="1"/>
    <col min="6" max="9" width="10.28515625" style="104" customWidth="1"/>
    <col min="10" max="10" width="10.42578125" style="104" customWidth="1"/>
    <col min="11" max="11" width="10.28515625" style="104" customWidth="1"/>
    <col min="12" max="12" width="17.7109375" style="107" customWidth="1"/>
    <col min="13" max="13" width="9.28515625" style="107" customWidth="1"/>
    <col min="14" max="74" width="8.7109375" style="107"/>
    <col min="75" max="16384" width="8.7109375" style="104"/>
  </cols>
  <sheetData>
    <row r="1" spans="1:74" s="105" customFormat="1" ht="15.75">
      <c r="B1" s="126"/>
      <c r="C1"/>
      <c r="D1" s="26"/>
      <c r="E1"/>
      <c r="F1"/>
      <c r="G1"/>
      <c r="H1"/>
      <c r="I1"/>
      <c r="J1"/>
      <c r="K1"/>
      <c r="L1" s="106"/>
      <c r="M1" s="107"/>
      <c r="N1" s="107"/>
      <c r="O1" s="107"/>
      <c r="P1" s="107"/>
      <c r="Q1" s="107"/>
      <c r="R1" s="107"/>
      <c r="S1" s="107"/>
      <c r="T1" s="107"/>
      <c r="U1" s="107"/>
      <c r="V1" s="107"/>
      <c r="W1" s="107"/>
      <c r="X1" s="107"/>
      <c r="Y1" s="107"/>
      <c r="Z1" s="107"/>
      <c r="AA1" s="107"/>
      <c r="AB1" s="107"/>
      <c r="AC1" s="107"/>
      <c r="AD1" s="107"/>
      <c r="AE1" s="107"/>
      <c r="AF1" s="107"/>
      <c r="AG1" s="107"/>
      <c r="AH1" s="107"/>
      <c r="AI1" s="107"/>
      <c r="AJ1" s="107"/>
      <c r="AK1" s="107"/>
      <c r="AL1" s="107"/>
      <c r="AM1" s="107"/>
      <c r="AN1" s="107"/>
      <c r="AO1" s="107"/>
      <c r="AP1" s="107"/>
      <c r="AQ1" s="107"/>
      <c r="AR1" s="107"/>
      <c r="AS1" s="107"/>
      <c r="AT1" s="107"/>
      <c r="AU1" s="107"/>
      <c r="AV1" s="107"/>
      <c r="AW1" s="107"/>
      <c r="AX1" s="107"/>
      <c r="AY1" s="107"/>
      <c r="AZ1" s="107"/>
      <c r="BA1" s="107"/>
      <c r="BB1" s="107"/>
      <c r="BC1" s="107"/>
      <c r="BD1" s="107"/>
      <c r="BE1" s="107"/>
      <c r="BF1" s="107"/>
      <c r="BG1" s="107"/>
      <c r="BH1" s="107"/>
      <c r="BI1" s="107"/>
      <c r="BJ1" s="107"/>
      <c r="BK1" s="107"/>
      <c r="BL1" s="107"/>
      <c r="BM1" s="107"/>
      <c r="BN1" s="107"/>
      <c r="BO1" s="107"/>
      <c r="BP1" s="107"/>
      <c r="BQ1" s="107"/>
      <c r="BR1" s="107"/>
      <c r="BS1" s="107"/>
      <c r="BT1" s="107"/>
      <c r="BU1" s="107"/>
      <c r="BV1" s="107"/>
    </row>
    <row r="2" spans="1:74" s="105" customFormat="1">
      <c r="D2" s="134"/>
      <c r="L2" s="106"/>
      <c r="M2" s="107"/>
      <c r="N2" s="107"/>
      <c r="O2" s="107"/>
      <c r="P2" s="107"/>
      <c r="Q2" s="107"/>
      <c r="R2" s="107"/>
      <c r="S2" s="107"/>
      <c r="T2" s="107"/>
      <c r="U2" s="107"/>
      <c r="V2" s="107"/>
      <c r="W2" s="107"/>
      <c r="X2" s="107"/>
      <c r="Y2" s="107"/>
      <c r="Z2" s="107"/>
      <c r="AA2" s="107"/>
      <c r="AB2" s="107"/>
      <c r="AC2" s="107"/>
      <c r="AD2" s="107"/>
      <c r="AE2" s="107"/>
      <c r="AF2" s="107"/>
      <c r="AG2" s="107"/>
      <c r="AH2" s="107"/>
      <c r="AI2" s="107"/>
      <c r="AJ2" s="107"/>
      <c r="AK2" s="107"/>
      <c r="AL2" s="107"/>
      <c r="AM2" s="107"/>
      <c r="AN2" s="107"/>
      <c r="AO2" s="107"/>
      <c r="AP2" s="107"/>
      <c r="AQ2" s="107"/>
      <c r="AR2" s="107"/>
      <c r="AS2" s="107"/>
      <c r="AT2" s="107"/>
      <c r="AU2" s="107"/>
      <c r="AV2" s="107"/>
      <c r="AW2" s="107"/>
      <c r="AX2" s="107"/>
      <c r="AY2" s="107"/>
      <c r="AZ2" s="107"/>
      <c r="BA2" s="107"/>
      <c r="BB2" s="107"/>
      <c r="BC2" s="107"/>
      <c r="BD2" s="107"/>
      <c r="BE2" s="107"/>
      <c r="BF2" s="107"/>
      <c r="BG2" s="107"/>
      <c r="BH2" s="107"/>
      <c r="BI2" s="107"/>
      <c r="BJ2" s="107"/>
      <c r="BK2" s="107"/>
      <c r="BL2" s="107"/>
      <c r="BM2" s="107"/>
      <c r="BN2" s="107"/>
      <c r="BO2" s="107"/>
      <c r="BP2" s="107"/>
      <c r="BQ2" s="107"/>
      <c r="BR2" s="107"/>
      <c r="BS2" s="107"/>
      <c r="BT2" s="107"/>
      <c r="BU2" s="107"/>
      <c r="BV2" s="107"/>
    </row>
    <row r="3" spans="1:74" s="105" customFormat="1" ht="23.25">
      <c r="B3" s="127"/>
      <c r="C3"/>
      <c r="D3" s="26"/>
      <c r="E3"/>
      <c r="F3"/>
      <c r="G3"/>
      <c r="H3"/>
      <c r="I3"/>
      <c r="J3"/>
      <c r="K3"/>
      <c r="L3" s="106"/>
      <c r="M3" s="107"/>
      <c r="N3" s="107"/>
      <c r="O3" s="107"/>
      <c r="P3" s="107"/>
      <c r="Q3" s="107"/>
      <c r="R3" s="107"/>
      <c r="S3" s="107"/>
      <c r="T3" s="107"/>
      <c r="U3" s="107"/>
      <c r="V3" s="107"/>
      <c r="W3" s="107"/>
      <c r="X3" s="107"/>
      <c r="Y3" s="107"/>
      <c r="Z3" s="107"/>
      <c r="AA3" s="107"/>
      <c r="AB3" s="107"/>
      <c r="AC3" s="107"/>
      <c r="AD3" s="107"/>
      <c r="AE3" s="107"/>
      <c r="AF3" s="107"/>
      <c r="AG3" s="107"/>
      <c r="AH3" s="107"/>
      <c r="AI3" s="107"/>
      <c r="AJ3" s="107"/>
      <c r="AK3" s="107"/>
      <c r="AL3" s="107"/>
      <c r="AM3" s="107"/>
      <c r="AN3" s="107"/>
      <c r="AO3" s="107"/>
      <c r="AP3" s="107"/>
      <c r="AQ3" s="107"/>
      <c r="AR3" s="107"/>
      <c r="AS3" s="107"/>
      <c r="AT3" s="107"/>
      <c r="AU3" s="107"/>
      <c r="AV3" s="107"/>
      <c r="AW3" s="107"/>
      <c r="AX3" s="107"/>
      <c r="AY3" s="107"/>
      <c r="AZ3" s="107"/>
      <c r="BA3" s="107"/>
      <c r="BB3" s="107"/>
      <c r="BC3" s="107"/>
      <c r="BD3" s="107"/>
      <c r="BE3" s="107"/>
      <c r="BF3" s="107"/>
      <c r="BG3" s="107"/>
      <c r="BH3" s="107"/>
      <c r="BI3" s="107"/>
      <c r="BJ3" s="107"/>
      <c r="BK3" s="107"/>
      <c r="BL3" s="107"/>
      <c r="BM3" s="107"/>
      <c r="BN3" s="107"/>
      <c r="BO3" s="107"/>
      <c r="BP3" s="107"/>
      <c r="BQ3" s="107"/>
      <c r="BR3" s="107"/>
      <c r="BS3" s="107"/>
      <c r="BT3" s="107"/>
      <c r="BU3" s="107"/>
      <c r="BV3" s="107"/>
    </row>
    <row r="4" spans="1:74" s="57" customFormat="1" ht="6" customHeight="1">
      <c r="A4" s="58"/>
      <c r="B4" s="47"/>
      <c r="C4" s="47"/>
      <c r="D4" s="47"/>
      <c r="E4" s="47"/>
      <c r="F4" s="47"/>
      <c r="G4" s="47"/>
      <c r="H4" s="47"/>
      <c r="I4" s="47"/>
      <c r="J4" s="47"/>
      <c r="K4" s="47"/>
      <c r="L4" s="47"/>
      <c r="M4" s="47"/>
      <c r="N4" s="47"/>
      <c r="O4" s="47"/>
    </row>
    <row r="5" spans="1:74" s="25" customFormat="1" ht="4.5" customHeight="1">
      <c r="A5" s="44"/>
      <c r="B5" s="45"/>
      <c r="C5" s="45"/>
      <c r="D5" s="45"/>
      <c r="E5" s="45"/>
      <c r="F5" s="45"/>
      <c r="G5" s="45"/>
      <c r="H5" s="45"/>
      <c r="I5" s="45"/>
      <c r="J5" s="45"/>
      <c r="K5" s="45"/>
      <c r="L5" s="45"/>
      <c r="M5" s="45"/>
      <c r="N5" s="45"/>
      <c r="O5" s="45"/>
    </row>
    <row r="6" spans="1:74" s="4" customFormat="1" ht="18">
      <c r="A6" s="162" t="s">
        <v>128</v>
      </c>
      <c r="B6" s="27"/>
      <c r="C6" s="27"/>
      <c r="D6" s="135"/>
      <c r="E6" s="27"/>
      <c r="F6" s="27"/>
      <c r="G6" s="27"/>
      <c r="H6" s="27"/>
      <c r="I6" s="27"/>
      <c r="J6" s="27"/>
      <c r="K6" s="27"/>
      <c r="L6" s="27"/>
      <c r="M6" s="27"/>
      <c r="N6" s="27"/>
      <c r="O6" s="27"/>
    </row>
    <row r="7" spans="1:74" s="4" customFormat="1" ht="7.5" customHeight="1">
      <c r="A7" s="61"/>
      <c r="B7" s="62"/>
      <c r="C7" s="62"/>
      <c r="D7" s="136"/>
      <c r="E7" s="62"/>
      <c r="F7" s="62"/>
      <c r="G7" s="62"/>
      <c r="H7" s="62"/>
      <c r="I7" s="62"/>
      <c r="J7" s="62"/>
      <c r="K7" s="62"/>
      <c r="L7" s="62"/>
      <c r="M7" s="62"/>
      <c r="N7" s="62"/>
      <c r="O7" s="62"/>
    </row>
    <row r="8" spans="1:74" s="4" customFormat="1">
      <c r="A8" s="161" t="s">
        <v>107</v>
      </c>
      <c r="B8" s="42"/>
      <c r="C8" s="42"/>
      <c r="D8" s="137"/>
      <c r="E8" s="42"/>
      <c r="F8" s="42"/>
      <c r="G8" s="42"/>
      <c r="H8" s="42"/>
      <c r="I8" s="42"/>
      <c r="J8" s="42"/>
      <c r="K8" s="42"/>
      <c r="L8" s="42"/>
      <c r="M8" s="42"/>
      <c r="N8" s="42"/>
      <c r="O8" s="42"/>
    </row>
    <row r="9" spans="1:74" s="128" customFormat="1" ht="19.5" customHeight="1">
      <c r="A9" s="154" t="s">
        <v>129</v>
      </c>
      <c r="B9" s="154" t="s">
        <v>130</v>
      </c>
      <c r="C9" s="154" t="s">
        <v>111</v>
      </c>
      <c r="D9" s="155" t="s">
        <v>131</v>
      </c>
      <c r="E9" s="156"/>
      <c r="F9" s="129"/>
      <c r="G9" s="129"/>
      <c r="H9" s="129"/>
      <c r="I9" s="129"/>
      <c r="J9" s="129"/>
      <c r="K9" s="129"/>
      <c r="L9" s="129"/>
      <c r="M9" s="130"/>
      <c r="N9" s="130"/>
      <c r="O9" s="130"/>
      <c r="P9" s="130"/>
      <c r="Q9" s="130"/>
      <c r="R9" s="130"/>
      <c r="S9" s="130"/>
      <c r="T9" s="130"/>
      <c r="U9" s="130"/>
      <c r="V9" s="130"/>
      <c r="W9" s="130"/>
      <c r="X9" s="130"/>
      <c r="Y9" s="130"/>
      <c r="Z9" s="130"/>
      <c r="AA9" s="130"/>
      <c r="AB9" s="130"/>
      <c r="AC9" s="130"/>
      <c r="AD9" s="130"/>
      <c r="AE9" s="130"/>
      <c r="AF9" s="130"/>
      <c r="AG9" s="130"/>
      <c r="AH9" s="130"/>
      <c r="AI9" s="130"/>
      <c r="AJ9" s="130"/>
      <c r="AK9" s="130"/>
      <c r="AL9" s="130"/>
      <c r="AM9" s="130"/>
      <c r="AN9" s="130"/>
      <c r="AO9" s="130"/>
      <c r="AP9" s="130"/>
      <c r="AQ9" s="130"/>
      <c r="AR9" s="130"/>
      <c r="AS9" s="130"/>
      <c r="AT9" s="130"/>
      <c r="AU9" s="130"/>
      <c r="AV9" s="130"/>
      <c r="AW9" s="130"/>
      <c r="AX9" s="130"/>
      <c r="AY9" s="130"/>
      <c r="AZ9" s="130"/>
      <c r="BA9" s="130"/>
      <c r="BB9" s="130"/>
      <c r="BC9" s="130"/>
      <c r="BD9" s="130"/>
      <c r="BE9" s="130"/>
      <c r="BF9" s="130"/>
      <c r="BG9" s="130"/>
      <c r="BH9" s="130"/>
      <c r="BI9" s="130"/>
      <c r="BJ9" s="130"/>
      <c r="BK9" s="130"/>
      <c r="BL9" s="130"/>
      <c r="BM9" s="130"/>
      <c r="BN9" s="130"/>
      <c r="BO9" s="130"/>
      <c r="BP9" s="130"/>
      <c r="BQ9" s="130"/>
      <c r="BR9" s="130"/>
      <c r="BS9" s="130"/>
      <c r="BT9" s="130"/>
      <c r="BU9" s="130"/>
      <c r="BV9" s="130"/>
    </row>
    <row r="10" spans="1:74" s="141" customFormat="1" ht="18" customHeight="1">
      <c r="A10" s="203" t="s">
        <v>264</v>
      </c>
      <c r="B10" s="204">
        <v>368</v>
      </c>
      <c r="C10" s="203">
        <v>0.13</v>
      </c>
      <c r="D10" s="205" t="s">
        <v>170</v>
      </c>
      <c r="E10" s="157"/>
      <c r="F10" s="139"/>
      <c r="G10" s="139"/>
      <c r="H10" s="139"/>
      <c r="I10" s="139"/>
      <c r="J10" s="139"/>
      <c r="K10" s="139"/>
      <c r="L10" s="139"/>
      <c r="M10" s="140"/>
      <c r="N10" s="140"/>
      <c r="O10" s="140"/>
      <c r="P10" s="140"/>
      <c r="Q10" s="140"/>
      <c r="R10" s="140"/>
      <c r="S10" s="140"/>
      <c r="T10" s="140"/>
      <c r="U10" s="140"/>
      <c r="V10" s="140"/>
      <c r="W10" s="140"/>
      <c r="X10" s="140"/>
      <c r="Y10" s="140"/>
      <c r="Z10" s="140"/>
      <c r="AA10" s="140"/>
      <c r="AB10" s="140"/>
      <c r="AC10" s="140"/>
      <c r="AD10" s="140"/>
      <c r="AE10" s="140"/>
      <c r="AF10" s="140"/>
      <c r="AG10" s="140"/>
      <c r="AH10" s="140"/>
      <c r="AI10" s="140"/>
      <c r="AJ10" s="140"/>
      <c r="AK10" s="140"/>
      <c r="AL10" s="140"/>
      <c r="AM10" s="140"/>
      <c r="AN10" s="140"/>
      <c r="AO10" s="140"/>
      <c r="AP10" s="140"/>
      <c r="AQ10" s="140"/>
      <c r="AR10" s="140"/>
      <c r="AS10" s="140"/>
      <c r="AT10" s="140"/>
      <c r="AU10" s="140"/>
      <c r="AV10" s="140"/>
      <c r="AW10" s="140"/>
      <c r="AX10" s="140"/>
      <c r="AY10" s="140"/>
      <c r="AZ10" s="140"/>
      <c r="BA10" s="140"/>
      <c r="BB10" s="140"/>
      <c r="BC10" s="140"/>
      <c r="BD10" s="140"/>
      <c r="BE10" s="140"/>
      <c r="BF10" s="140"/>
      <c r="BG10" s="140"/>
      <c r="BH10" s="140"/>
      <c r="BI10" s="140"/>
      <c r="BJ10" s="140"/>
      <c r="BK10" s="140"/>
      <c r="BL10" s="140"/>
      <c r="BM10" s="140"/>
      <c r="BN10" s="140"/>
      <c r="BO10" s="140"/>
      <c r="BP10" s="140"/>
      <c r="BQ10" s="140"/>
      <c r="BR10" s="140"/>
      <c r="BS10" s="140"/>
      <c r="BT10" s="140"/>
      <c r="BU10" s="140"/>
      <c r="BV10" s="140"/>
    </row>
    <row r="11" spans="1:74" s="141" customFormat="1" ht="18" customHeight="1">
      <c r="A11" s="203" t="s">
        <v>226</v>
      </c>
      <c r="B11" s="204">
        <v>708</v>
      </c>
      <c r="C11" s="203">
        <v>0.26</v>
      </c>
      <c r="D11" s="205" t="s">
        <v>170</v>
      </c>
      <c r="E11" s="157"/>
      <c r="F11" s="139"/>
      <c r="G11" s="139"/>
      <c r="H11" s="139"/>
      <c r="I11" s="139"/>
      <c r="J11" s="139"/>
      <c r="K11" s="139"/>
      <c r="L11" s="139"/>
      <c r="M11" s="140"/>
      <c r="N11" s="140"/>
      <c r="O11" s="140"/>
      <c r="P11" s="140"/>
      <c r="Q11" s="140"/>
      <c r="R11" s="140"/>
      <c r="S11" s="140"/>
      <c r="T11" s="140"/>
      <c r="U11" s="140"/>
      <c r="V11" s="140"/>
      <c r="W11" s="140"/>
      <c r="X11" s="140"/>
      <c r="Y11" s="140"/>
      <c r="Z11" s="140"/>
      <c r="AA11" s="140"/>
      <c r="AB11" s="140"/>
      <c r="AC11" s="140"/>
      <c r="AD11" s="140"/>
      <c r="AE11" s="140"/>
      <c r="AF11" s="140"/>
      <c r="AG11" s="140"/>
      <c r="AH11" s="140"/>
      <c r="AI11" s="140"/>
      <c r="AJ11" s="140"/>
      <c r="AK11" s="140"/>
      <c r="AL11" s="140"/>
      <c r="AM11" s="140"/>
      <c r="AN11" s="140"/>
      <c r="AO11" s="140"/>
      <c r="AP11" s="140"/>
      <c r="AQ11" s="140"/>
      <c r="AR11" s="140"/>
      <c r="AS11" s="140"/>
      <c r="AT11" s="140"/>
      <c r="AU11" s="140"/>
      <c r="AV11" s="140"/>
      <c r="AW11" s="140"/>
      <c r="AX11" s="140"/>
      <c r="AY11" s="140"/>
      <c r="AZ11" s="140"/>
      <c r="BA11" s="140"/>
      <c r="BB11" s="140"/>
      <c r="BC11" s="140"/>
      <c r="BD11" s="140"/>
      <c r="BE11" s="140"/>
      <c r="BF11" s="140"/>
      <c r="BG11" s="140"/>
      <c r="BH11" s="140"/>
      <c r="BI11" s="140"/>
      <c r="BJ11" s="140"/>
      <c r="BK11" s="140"/>
      <c r="BL11" s="140"/>
      <c r="BM11" s="140"/>
      <c r="BN11" s="140"/>
      <c r="BO11" s="140"/>
      <c r="BP11" s="140"/>
      <c r="BQ11" s="140"/>
      <c r="BR11" s="140"/>
      <c r="BS11" s="140"/>
      <c r="BT11" s="140"/>
      <c r="BU11" s="140"/>
      <c r="BV11" s="140"/>
    </row>
    <row r="12" spans="1:74" s="141" customFormat="1" ht="18" customHeight="1">
      <c r="A12" s="206" t="s">
        <v>220</v>
      </c>
      <c r="B12" s="204">
        <v>578</v>
      </c>
      <c r="C12" s="206">
        <v>0.21</v>
      </c>
      <c r="D12" s="205" t="s">
        <v>170</v>
      </c>
      <c r="E12" s="158"/>
      <c r="F12" s="196"/>
      <c r="G12" s="196"/>
      <c r="H12" s="196"/>
      <c r="I12" s="139"/>
      <c r="J12" s="139"/>
      <c r="K12" s="139"/>
      <c r="L12" s="139"/>
      <c r="M12" s="140"/>
      <c r="N12" s="140"/>
      <c r="O12" s="140"/>
      <c r="P12" s="140"/>
      <c r="Q12" s="140"/>
      <c r="R12" s="140"/>
      <c r="S12" s="140"/>
      <c r="T12" s="140"/>
      <c r="U12" s="140"/>
      <c r="V12" s="140"/>
      <c r="W12" s="140"/>
      <c r="X12" s="140"/>
      <c r="Y12" s="140"/>
      <c r="Z12" s="140"/>
      <c r="AA12" s="140"/>
      <c r="AB12" s="140"/>
      <c r="AC12" s="140"/>
      <c r="AD12" s="140"/>
      <c r="AE12" s="140"/>
      <c r="AF12" s="140"/>
      <c r="AG12" s="140"/>
      <c r="AH12" s="140"/>
      <c r="AI12" s="140"/>
      <c r="AJ12" s="140"/>
      <c r="AK12" s="140"/>
      <c r="AL12" s="140"/>
      <c r="AM12" s="140"/>
      <c r="AN12" s="140"/>
      <c r="AO12" s="140"/>
      <c r="AP12" s="140"/>
      <c r="AQ12" s="140"/>
      <c r="AR12" s="140"/>
      <c r="AS12" s="140"/>
      <c r="AT12" s="140"/>
      <c r="AU12" s="140"/>
      <c r="AV12" s="140"/>
      <c r="AW12" s="140"/>
      <c r="AX12" s="140"/>
      <c r="AY12" s="140"/>
      <c r="AZ12" s="140"/>
      <c r="BA12" s="140"/>
      <c r="BB12" s="140"/>
      <c r="BC12" s="140"/>
      <c r="BD12" s="140"/>
      <c r="BE12" s="140"/>
      <c r="BF12" s="140"/>
      <c r="BG12" s="140"/>
      <c r="BH12" s="140"/>
      <c r="BI12" s="140"/>
      <c r="BJ12" s="140"/>
      <c r="BK12" s="140"/>
      <c r="BL12" s="140"/>
      <c r="BM12" s="140"/>
      <c r="BN12" s="140"/>
      <c r="BO12" s="140"/>
      <c r="BP12" s="140"/>
      <c r="BQ12" s="140"/>
      <c r="BR12" s="140"/>
      <c r="BS12" s="140"/>
      <c r="BT12" s="140"/>
      <c r="BU12" s="140"/>
      <c r="BV12" s="140"/>
    </row>
    <row r="13" spans="1:74" s="141" customFormat="1" ht="18" customHeight="1">
      <c r="A13" s="203" t="s">
        <v>207</v>
      </c>
      <c r="B13" s="204">
        <v>665</v>
      </c>
      <c r="C13" s="207">
        <v>0.24046770000000001</v>
      </c>
      <c r="D13" s="205" t="s">
        <v>170</v>
      </c>
      <c r="E13" s="158"/>
      <c r="F13" s="139"/>
      <c r="G13" s="139"/>
      <c r="H13" s="139"/>
      <c r="I13" s="139"/>
      <c r="J13" s="139"/>
      <c r="K13" s="139"/>
      <c r="L13" s="139"/>
      <c r="M13" s="140"/>
      <c r="N13" s="140"/>
      <c r="O13" s="140"/>
      <c r="P13" s="140"/>
      <c r="Q13" s="140"/>
      <c r="R13" s="140"/>
      <c r="S13" s="140"/>
      <c r="T13" s="140"/>
      <c r="U13" s="140"/>
      <c r="V13" s="140"/>
      <c r="W13" s="140"/>
      <c r="X13" s="140"/>
      <c r="Y13" s="140"/>
      <c r="Z13" s="140"/>
      <c r="AA13" s="140"/>
      <c r="AB13" s="140"/>
      <c r="AC13" s="140"/>
      <c r="AD13" s="140"/>
      <c r="AE13" s="140"/>
      <c r="AF13" s="140"/>
      <c r="AG13" s="140"/>
      <c r="AH13" s="140"/>
      <c r="AI13" s="140"/>
      <c r="AJ13" s="140"/>
      <c r="AK13" s="140"/>
      <c r="AL13" s="140"/>
      <c r="AM13" s="140"/>
      <c r="AN13" s="140"/>
      <c r="AO13" s="140"/>
      <c r="AP13" s="140"/>
      <c r="AQ13" s="140"/>
      <c r="AR13" s="140"/>
      <c r="AS13" s="140"/>
      <c r="AT13" s="140"/>
      <c r="AU13" s="140"/>
      <c r="AV13" s="140"/>
      <c r="AW13" s="140"/>
      <c r="AX13" s="140"/>
      <c r="AY13" s="140"/>
      <c r="AZ13" s="140"/>
      <c r="BA13" s="140"/>
      <c r="BB13" s="140"/>
      <c r="BC13" s="140"/>
      <c r="BD13" s="140"/>
      <c r="BE13" s="140"/>
      <c r="BF13" s="140"/>
      <c r="BG13" s="140"/>
      <c r="BH13" s="140"/>
      <c r="BI13" s="140"/>
      <c r="BJ13" s="140"/>
      <c r="BK13" s="140"/>
      <c r="BL13" s="140"/>
      <c r="BM13" s="140"/>
      <c r="BN13" s="140"/>
      <c r="BO13" s="140"/>
      <c r="BP13" s="140"/>
      <c r="BQ13" s="140"/>
      <c r="BR13" s="140"/>
      <c r="BS13" s="140"/>
      <c r="BT13" s="140"/>
      <c r="BU13" s="140"/>
      <c r="BV13" s="140"/>
    </row>
    <row r="14" spans="1:74" s="141" customFormat="1" ht="18" customHeight="1">
      <c r="A14" s="208">
        <v>42520</v>
      </c>
      <c r="B14" s="204">
        <v>776</v>
      </c>
      <c r="C14" s="209">
        <v>0.28060590000000002</v>
      </c>
      <c r="D14" s="205" t="s">
        <v>132</v>
      </c>
      <c r="E14" s="157"/>
      <c r="F14" s="139"/>
      <c r="G14" s="139"/>
      <c r="H14" s="139"/>
      <c r="I14" s="139"/>
      <c r="J14" s="139"/>
      <c r="K14" s="139"/>
      <c r="L14" s="139"/>
      <c r="M14" s="140"/>
      <c r="N14" s="140"/>
      <c r="O14" s="140"/>
      <c r="P14" s="140"/>
      <c r="Q14" s="140"/>
      <c r="R14" s="140"/>
      <c r="S14" s="140"/>
      <c r="T14" s="140"/>
      <c r="U14" s="140"/>
      <c r="V14" s="140"/>
      <c r="W14" s="140"/>
      <c r="X14" s="140"/>
      <c r="Y14" s="140"/>
      <c r="Z14" s="140"/>
      <c r="AA14" s="140"/>
      <c r="AB14" s="140"/>
      <c r="AC14" s="140"/>
      <c r="AD14" s="140"/>
      <c r="AE14" s="140"/>
      <c r="AF14" s="140"/>
      <c r="AG14" s="140"/>
      <c r="AH14" s="140"/>
      <c r="AI14" s="140"/>
      <c r="AJ14" s="140"/>
      <c r="AK14" s="140"/>
      <c r="AL14" s="140"/>
      <c r="AM14" s="140"/>
      <c r="AN14" s="140"/>
      <c r="AO14" s="140"/>
      <c r="AP14" s="140"/>
      <c r="AQ14" s="140"/>
      <c r="AR14" s="140"/>
      <c r="AS14" s="140"/>
      <c r="AT14" s="140"/>
      <c r="AU14" s="140"/>
      <c r="AV14" s="140"/>
      <c r="AW14" s="140"/>
      <c r="AX14" s="140"/>
      <c r="AY14" s="140"/>
      <c r="AZ14" s="140"/>
      <c r="BA14" s="140"/>
      <c r="BB14" s="140"/>
      <c r="BC14" s="140"/>
      <c r="BD14" s="140"/>
      <c r="BE14" s="140"/>
      <c r="BF14" s="140"/>
      <c r="BG14" s="140"/>
      <c r="BH14" s="140"/>
      <c r="BI14" s="140"/>
      <c r="BJ14" s="140"/>
      <c r="BK14" s="140"/>
      <c r="BL14" s="140"/>
      <c r="BM14" s="140"/>
      <c r="BN14" s="140"/>
      <c r="BO14" s="140"/>
      <c r="BP14" s="140"/>
      <c r="BQ14" s="140"/>
      <c r="BR14" s="140"/>
      <c r="BS14" s="140"/>
      <c r="BT14" s="140"/>
      <c r="BU14" s="140"/>
      <c r="BV14" s="140"/>
    </row>
    <row r="15" spans="1:74" s="141" customFormat="1" ht="18" customHeight="1">
      <c r="A15" s="203" t="s">
        <v>160</v>
      </c>
      <c r="B15" s="204">
        <v>933</v>
      </c>
      <c r="C15" s="207">
        <v>0.33895799999999998</v>
      </c>
      <c r="D15" s="205" t="s">
        <v>132</v>
      </c>
      <c r="E15" s="157"/>
      <c r="F15" s="139"/>
      <c r="G15" s="139"/>
      <c r="H15" s="139"/>
      <c r="I15" s="139"/>
      <c r="J15" s="139"/>
      <c r="K15" s="139"/>
      <c r="L15" s="139"/>
      <c r="M15" s="140"/>
      <c r="N15" s="140"/>
      <c r="O15" s="140"/>
      <c r="P15" s="140"/>
      <c r="Q15" s="140"/>
      <c r="R15" s="140"/>
      <c r="S15" s="140"/>
      <c r="T15" s="140"/>
      <c r="U15" s="140"/>
      <c r="V15" s="140"/>
      <c r="W15" s="140"/>
      <c r="X15" s="140"/>
      <c r="Y15" s="140"/>
      <c r="Z15" s="140"/>
      <c r="AA15" s="140"/>
      <c r="AB15" s="140"/>
      <c r="AC15" s="140"/>
      <c r="AD15" s="140"/>
      <c r="AE15" s="140"/>
      <c r="AF15" s="140"/>
      <c r="AG15" s="140"/>
      <c r="AH15" s="140"/>
      <c r="AI15" s="140"/>
      <c r="AJ15" s="140"/>
      <c r="AK15" s="140"/>
      <c r="AL15" s="140"/>
      <c r="AM15" s="140"/>
      <c r="AN15" s="140"/>
      <c r="AO15" s="140"/>
      <c r="AP15" s="140"/>
      <c r="AQ15" s="140"/>
      <c r="AR15" s="140"/>
      <c r="AS15" s="140"/>
      <c r="AT15" s="140"/>
      <c r="AU15" s="140"/>
      <c r="AV15" s="140"/>
      <c r="AW15" s="140"/>
      <c r="AX15" s="140"/>
      <c r="AY15" s="140"/>
      <c r="AZ15" s="140"/>
      <c r="BA15" s="140"/>
      <c r="BB15" s="140"/>
      <c r="BC15" s="140"/>
      <c r="BD15" s="140"/>
      <c r="BE15" s="140"/>
      <c r="BF15" s="140"/>
      <c r="BG15" s="140"/>
      <c r="BH15" s="140"/>
      <c r="BI15" s="140"/>
      <c r="BJ15" s="140"/>
      <c r="BK15" s="140"/>
      <c r="BL15" s="140"/>
      <c r="BM15" s="140"/>
      <c r="BN15" s="140"/>
      <c r="BO15" s="140"/>
      <c r="BP15" s="140"/>
      <c r="BQ15" s="140"/>
      <c r="BR15" s="140"/>
      <c r="BS15" s="140"/>
      <c r="BT15" s="140"/>
      <c r="BU15" s="140"/>
      <c r="BV15" s="140"/>
    </row>
    <row r="16" spans="1:74" s="141" customFormat="1" ht="18" customHeight="1">
      <c r="A16" s="203" t="s">
        <v>151</v>
      </c>
      <c r="B16" s="204">
        <v>844</v>
      </c>
      <c r="C16" s="203">
        <v>0.31</v>
      </c>
      <c r="D16" s="205" t="s">
        <v>170</v>
      </c>
      <c r="E16" s="157"/>
      <c r="F16" s="139"/>
      <c r="G16" s="139"/>
      <c r="H16" s="139"/>
      <c r="I16" s="139"/>
      <c r="J16" s="139"/>
      <c r="K16" s="139"/>
      <c r="L16" s="139"/>
      <c r="M16" s="140"/>
      <c r="N16" s="140"/>
      <c r="O16" s="140"/>
      <c r="P16" s="140"/>
      <c r="Q16" s="140"/>
      <c r="R16" s="140"/>
      <c r="S16" s="140"/>
      <c r="T16" s="140"/>
      <c r="U16" s="140"/>
      <c r="V16" s="140"/>
      <c r="W16" s="140"/>
      <c r="X16" s="140"/>
      <c r="Y16" s="140"/>
      <c r="Z16" s="140"/>
      <c r="AA16" s="140"/>
      <c r="AB16" s="140"/>
      <c r="AC16" s="140"/>
      <c r="AD16" s="140"/>
      <c r="AE16" s="140"/>
      <c r="AF16" s="140"/>
      <c r="AG16" s="140"/>
      <c r="AH16" s="140"/>
      <c r="AI16" s="140"/>
      <c r="AJ16" s="140"/>
      <c r="AK16" s="140"/>
      <c r="AL16" s="140"/>
      <c r="AM16" s="140"/>
      <c r="AN16" s="140"/>
      <c r="AO16" s="140"/>
      <c r="AP16" s="140"/>
      <c r="AQ16" s="140"/>
      <c r="AR16" s="140"/>
      <c r="AS16" s="140"/>
      <c r="AT16" s="140"/>
      <c r="AU16" s="140"/>
      <c r="AV16" s="140"/>
      <c r="AW16" s="140"/>
      <c r="AX16" s="140"/>
      <c r="AY16" s="140"/>
      <c r="AZ16" s="140"/>
      <c r="BA16" s="140"/>
      <c r="BB16" s="140"/>
      <c r="BC16" s="140"/>
      <c r="BD16" s="140"/>
      <c r="BE16" s="140"/>
      <c r="BF16" s="140"/>
      <c r="BG16" s="140"/>
      <c r="BH16" s="140"/>
      <c r="BI16" s="140"/>
      <c r="BJ16" s="140"/>
      <c r="BK16" s="140"/>
      <c r="BL16" s="140"/>
      <c r="BM16" s="140"/>
      <c r="BN16" s="140"/>
      <c r="BO16" s="140"/>
      <c r="BP16" s="140"/>
      <c r="BQ16" s="140"/>
      <c r="BR16" s="140"/>
      <c r="BS16" s="140"/>
      <c r="BT16" s="140"/>
      <c r="BU16" s="140"/>
      <c r="BV16" s="140"/>
    </row>
    <row r="17" spans="1:74" s="141" customFormat="1" ht="18" customHeight="1">
      <c r="A17" s="203" t="s">
        <v>150</v>
      </c>
      <c r="B17" s="204">
        <v>1267</v>
      </c>
      <c r="C17" s="207">
        <v>0.4627</v>
      </c>
      <c r="D17" s="205" t="s">
        <v>170</v>
      </c>
      <c r="E17" s="157"/>
      <c r="F17" s="139"/>
      <c r="G17" s="139"/>
      <c r="H17" s="139"/>
      <c r="I17" s="139"/>
      <c r="J17" s="139"/>
      <c r="K17" s="139"/>
      <c r="L17" s="139"/>
      <c r="M17" s="140"/>
      <c r="N17" s="140"/>
      <c r="O17" s="140"/>
      <c r="P17" s="140"/>
      <c r="Q17" s="140"/>
      <c r="R17" s="140"/>
      <c r="S17" s="140"/>
      <c r="T17" s="140"/>
      <c r="U17" s="140"/>
      <c r="V17" s="140"/>
      <c r="W17" s="140"/>
      <c r="X17" s="140"/>
      <c r="Y17" s="140"/>
      <c r="Z17" s="140"/>
      <c r="AA17" s="140"/>
      <c r="AB17" s="140"/>
      <c r="AC17" s="140"/>
      <c r="AD17" s="140"/>
      <c r="AE17" s="140"/>
      <c r="AF17" s="140"/>
      <c r="AG17" s="140"/>
      <c r="AH17" s="140"/>
      <c r="AI17" s="140"/>
      <c r="AJ17" s="140"/>
      <c r="AK17" s="140"/>
      <c r="AL17" s="140"/>
      <c r="AM17" s="140"/>
      <c r="AN17" s="140"/>
      <c r="AO17" s="140"/>
      <c r="AP17" s="140"/>
      <c r="AQ17" s="140"/>
      <c r="AR17" s="140"/>
      <c r="AS17" s="140"/>
      <c r="AT17" s="140"/>
      <c r="AU17" s="140"/>
      <c r="AV17" s="140"/>
      <c r="AW17" s="140"/>
      <c r="AX17" s="140"/>
      <c r="AY17" s="140"/>
      <c r="AZ17" s="140"/>
      <c r="BA17" s="140"/>
      <c r="BB17" s="140"/>
      <c r="BC17" s="140"/>
      <c r="BD17" s="140"/>
      <c r="BE17" s="140"/>
      <c r="BF17" s="140"/>
      <c r="BG17" s="140"/>
      <c r="BH17" s="140"/>
      <c r="BI17" s="140"/>
      <c r="BJ17" s="140"/>
      <c r="BK17" s="140"/>
      <c r="BL17" s="140"/>
      <c r="BM17" s="140"/>
      <c r="BN17" s="140"/>
      <c r="BO17" s="140"/>
      <c r="BP17" s="140"/>
      <c r="BQ17" s="140"/>
      <c r="BR17" s="140"/>
      <c r="BS17" s="140"/>
      <c r="BT17" s="140"/>
      <c r="BU17" s="140"/>
      <c r="BV17" s="140"/>
    </row>
    <row r="18" spans="1:74" s="141" customFormat="1" ht="18" customHeight="1">
      <c r="A18" s="203" t="s">
        <v>148</v>
      </c>
      <c r="B18" s="204">
        <v>802</v>
      </c>
      <c r="C18" s="207">
        <v>0.29365089999999999</v>
      </c>
      <c r="D18" s="205" t="s">
        <v>132</v>
      </c>
      <c r="E18" s="158"/>
      <c r="F18" s="139"/>
      <c r="G18" s="139"/>
      <c r="H18" s="139"/>
      <c r="I18" s="139"/>
      <c r="J18" s="139"/>
      <c r="K18" s="139"/>
      <c r="L18" s="139"/>
      <c r="M18" s="140"/>
      <c r="N18" s="140"/>
      <c r="O18" s="140"/>
      <c r="P18" s="140"/>
      <c r="Q18" s="140"/>
      <c r="R18" s="140"/>
      <c r="S18" s="140"/>
      <c r="T18" s="140"/>
      <c r="U18" s="140"/>
      <c r="V18" s="140"/>
      <c r="W18" s="140"/>
      <c r="X18" s="140"/>
      <c r="Y18" s="140"/>
      <c r="Z18" s="140"/>
      <c r="AA18" s="140"/>
      <c r="AB18" s="140"/>
      <c r="AC18" s="140"/>
      <c r="AD18" s="140"/>
      <c r="AE18" s="140"/>
      <c r="AF18" s="140"/>
      <c r="AG18" s="140"/>
      <c r="AH18" s="140"/>
      <c r="AI18" s="140"/>
      <c r="AJ18" s="140"/>
      <c r="AK18" s="140"/>
      <c r="AL18" s="140"/>
      <c r="AM18" s="140"/>
      <c r="AN18" s="140"/>
      <c r="AO18" s="140"/>
      <c r="AP18" s="140"/>
      <c r="AQ18" s="140"/>
      <c r="AR18" s="140"/>
      <c r="AS18" s="140"/>
      <c r="AT18" s="140"/>
      <c r="AU18" s="140"/>
      <c r="AV18" s="140"/>
      <c r="AW18" s="140"/>
      <c r="AX18" s="140"/>
      <c r="AY18" s="140"/>
      <c r="AZ18" s="140"/>
      <c r="BA18" s="140"/>
      <c r="BB18" s="140"/>
      <c r="BC18" s="140"/>
      <c r="BD18" s="140"/>
      <c r="BE18" s="140"/>
      <c r="BF18" s="140"/>
      <c r="BG18" s="140"/>
      <c r="BH18" s="140"/>
      <c r="BI18" s="140"/>
      <c r="BJ18" s="140"/>
      <c r="BK18" s="140"/>
      <c r="BL18" s="140"/>
      <c r="BM18" s="140"/>
      <c r="BN18" s="140"/>
      <c r="BO18" s="140"/>
      <c r="BP18" s="140"/>
      <c r="BQ18" s="140"/>
      <c r="BR18" s="140"/>
      <c r="BS18" s="140"/>
      <c r="BT18" s="140"/>
      <c r="BU18" s="140"/>
      <c r="BV18" s="140"/>
    </row>
    <row r="19" spans="1:74" ht="18" customHeight="1">
      <c r="A19" s="210" t="s">
        <v>127</v>
      </c>
      <c r="B19" s="204">
        <v>500</v>
      </c>
      <c r="C19" s="211">
        <v>0.35539340000000003</v>
      </c>
      <c r="D19" s="205" t="s">
        <v>134</v>
      </c>
      <c r="E19" s="159"/>
    </row>
    <row r="20" spans="1:74" ht="18" customHeight="1">
      <c r="A20" s="210" t="s">
        <v>127</v>
      </c>
      <c r="B20" s="204">
        <v>969</v>
      </c>
      <c r="C20" s="211">
        <v>0.1833815</v>
      </c>
      <c r="D20" s="205" t="s">
        <v>132</v>
      </c>
      <c r="E20" s="159"/>
    </row>
    <row r="21" spans="1:74" ht="18" customHeight="1">
      <c r="A21" s="210" t="s">
        <v>126</v>
      </c>
      <c r="B21" s="204">
        <v>500</v>
      </c>
      <c r="C21" s="211">
        <v>0.18347540000000001</v>
      </c>
      <c r="D21" s="205" t="s">
        <v>135</v>
      </c>
      <c r="E21" s="159"/>
    </row>
    <row r="22" spans="1:74" ht="18" customHeight="1">
      <c r="A22" s="210" t="s">
        <v>126</v>
      </c>
      <c r="B22" s="204">
        <v>861</v>
      </c>
      <c r="C22" s="211">
        <v>0.31594460000000002</v>
      </c>
      <c r="D22" s="205" t="s">
        <v>132</v>
      </c>
      <c r="E22" s="159"/>
    </row>
    <row r="23" spans="1:74" ht="18" customHeight="1">
      <c r="A23" s="210" t="s">
        <v>125</v>
      </c>
      <c r="B23" s="204">
        <v>500</v>
      </c>
      <c r="C23" s="211">
        <v>0.18353149999999999</v>
      </c>
      <c r="D23" s="205" t="s">
        <v>136</v>
      </c>
      <c r="E23" s="159"/>
    </row>
    <row r="24" spans="1:74" ht="18" customHeight="1">
      <c r="A24" s="210" t="s">
        <v>125</v>
      </c>
      <c r="B24" s="204">
        <v>997</v>
      </c>
      <c r="C24" s="211">
        <v>0.3659618</v>
      </c>
      <c r="D24" s="205" t="s">
        <v>132</v>
      </c>
      <c r="E24" s="159"/>
    </row>
    <row r="25" spans="1:74" ht="18" customHeight="1">
      <c r="A25" s="210" t="s">
        <v>124</v>
      </c>
      <c r="B25" s="204">
        <v>500</v>
      </c>
      <c r="C25" s="211">
        <v>0.18397520000000001</v>
      </c>
      <c r="D25" s="205" t="s">
        <v>137</v>
      </c>
      <c r="E25" s="159"/>
    </row>
    <row r="26" spans="1:74" ht="18" customHeight="1">
      <c r="A26" s="210" t="s">
        <v>124</v>
      </c>
      <c r="B26" s="204">
        <v>1074</v>
      </c>
      <c r="C26" s="211">
        <v>0.3951788</v>
      </c>
      <c r="D26" s="205" t="s">
        <v>132</v>
      </c>
      <c r="E26" s="159"/>
    </row>
    <row r="27" spans="1:74" ht="18" customHeight="1">
      <c r="A27" s="210" t="s">
        <v>123</v>
      </c>
      <c r="B27" s="204">
        <v>500</v>
      </c>
      <c r="C27" s="211">
        <v>0.18459929999999999</v>
      </c>
      <c r="D27" s="205" t="s">
        <v>138</v>
      </c>
      <c r="E27" s="159"/>
    </row>
    <row r="28" spans="1:74" ht="18" customHeight="1">
      <c r="A28" s="210" t="s">
        <v>123</v>
      </c>
      <c r="B28" s="204">
        <v>992</v>
      </c>
      <c r="C28" s="211">
        <v>0.36624509999999999</v>
      </c>
      <c r="D28" s="205" t="s">
        <v>132</v>
      </c>
      <c r="E28" s="159"/>
    </row>
    <row r="29" spans="1:74" ht="18" customHeight="1">
      <c r="A29" s="210" t="s">
        <v>122</v>
      </c>
      <c r="B29" s="204">
        <v>500</v>
      </c>
      <c r="C29" s="211">
        <v>0.18511250000000001</v>
      </c>
      <c r="D29" s="205" t="s">
        <v>133</v>
      </c>
      <c r="E29" s="159"/>
    </row>
    <row r="30" spans="1:74" ht="18" customHeight="1">
      <c r="A30" s="210" t="s">
        <v>122</v>
      </c>
      <c r="B30" s="204">
        <v>1163</v>
      </c>
      <c r="C30" s="211">
        <v>0.4305716</v>
      </c>
      <c r="D30" s="205" t="s">
        <v>132</v>
      </c>
      <c r="E30" s="159"/>
    </row>
    <row r="31" spans="1:74" ht="18" customHeight="1">
      <c r="A31" s="210" t="s">
        <v>121</v>
      </c>
      <c r="B31" s="204">
        <v>1280</v>
      </c>
      <c r="C31" s="211">
        <v>0.47804590000000002</v>
      </c>
      <c r="D31" s="205" t="s">
        <v>132</v>
      </c>
      <c r="E31" s="159"/>
    </row>
    <row r="32" spans="1:74" ht="18" customHeight="1">
      <c r="A32" s="210" t="s">
        <v>120</v>
      </c>
      <c r="B32" s="204">
        <v>2453</v>
      </c>
      <c r="C32" s="211">
        <v>0.91706790000000005</v>
      </c>
      <c r="D32" s="205" t="s">
        <v>132</v>
      </c>
      <c r="E32" s="159"/>
    </row>
    <row r="33" spans="1:12" ht="18" customHeight="1">
      <c r="A33" s="210" t="s">
        <v>119</v>
      </c>
      <c r="B33" s="204">
        <v>1149</v>
      </c>
      <c r="C33" s="211">
        <v>0.43297429999999998</v>
      </c>
      <c r="D33" s="205" t="s">
        <v>132</v>
      </c>
      <c r="E33" s="159"/>
    </row>
    <row r="34" spans="1:12" ht="18" customHeight="1">
      <c r="A34" s="210" t="s">
        <v>118</v>
      </c>
      <c r="B34" s="204">
        <v>792</v>
      </c>
      <c r="C34" s="211">
        <v>0.30130249999999997</v>
      </c>
      <c r="D34" s="205" t="s">
        <v>132</v>
      </c>
      <c r="E34" s="159"/>
    </row>
    <row r="35" spans="1:12" ht="18" customHeight="1">
      <c r="A35" s="210" t="s">
        <v>117</v>
      </c>
      <c r="B35" s="204">
        <v>835</v>
      </c>
      <c r="C35" s="211">
        <v>0.32053179999999998</v>
      </c>
      <c r="D35" s="205" t="s">
        <v>132</v>
      </c>
      <c r="E35" s="159"/>
    </row>
    <row r="36" spans="1:12" ht="18" customHeight="1">
      <c r="A36" s="210" t="s">
        <v>116</v>
      </c>
      <c r="B36" s="204">
        <v>679</v>
      </c>
      <c r="C36" s="211">
        <v>0.26064799999999999</v>
      </c>
      <c r="D36" s="205" t="s">
        <v>132</v>
      </c>
      <c r="E36" s="159"/>
    </row>
    <row r="37" spans="1:12" ht="18" customHeight="1">
      <c r="A37" s="212" t="s">
        <v>115</v>
      </c>
      <c r="B37" s="213">
        <v>760</v>
      </c>
      <c r="C37" s="211">
        <v>0.29174149999999999</v>
      </c>
      <c r="D37" s="205" t="s">
        <v>132</v>
      </c>
      <c r="E37" s="160"/>
      <c r="F37" s="105"/>
      <c r="G37" s="105"/>
      <c r="H37" s="105"/>
      <c r="I37" s="105"/>
      <c r="J37" s="105"/>
      <c r="K37" s="105"/>
      <c r="L37" s="106"/>
    </row>
    <row r="38" spans="1:12" ht="18" customHeight="1">
      <c r="A38" s="212" t="s">
        <v>114</v>
      </c>
      <c r="B38" s="213">
        <v>1800</v>
      </c>
      <c r="C38" s="211">
        <v>0.69096679999999999</v>
      </c>
      <c r="D38" s="205" t="s">
        <v>139</v>
      </c>
      <c r="E38" s="160"/>
      <c r="F38" s="105"/>
      <c r="G38" s="105"/>
      <c r="H38" s="105"/>
      <c r="I38" s="105"/>
      <c r="J38" s="105"/>
      <c r="K38" s="105"/>
      <c r="L38" s="106"/>
    </row>
    <row r="39" spans="1:12" ht="18" customHeight="1">
      <c r="A39" s="212" t="s">
        <v>113</v>
      </c>
      <c r="B39" s="213">
        <v>300</v>
      </c>
      <c r="C39" s="211">
        <v>0.11516120000000001</v>
      </c>
      <c r="D39" s="205" t="s">
        <v>132</v>
      </c>
      <c r="E39" s="160"/>
      <c r="F39" s="105"/>
      <c r="G39" s="105"/>
      <c r="H39" s="105"/>
      <c r="I39" s="105"/>
      <c r="J39" s="105"/>
      <c r="K39" s="105"/>
      <c r="L39" s="106"/>
    </row>
    <row r="40" spans="1:12" ht="18" customHeight="1">
      <c r="A40" s="212" t="s">
        <v>112</v>
      </c>
      <c r="B40" s="213">
        <v>400</v>
      </c>
      <c r="C40" s="211">
        <v>0.1535482</v>
      </c>
      <c r="D40" s="205" t="s">
        <v>132</v>
      </c>
      <c r="E40" s="160"/>
      <c r="F40" s="105"/>
      <c r="G40" s="105"/>
      <c r="H40" s="105"/>
      <c r="I40" s="105"/>
      <c r="J40" s="105"/>
      <c r="K40" s="105"/>
      <c r="L40" s="106"/>
    </row>
    <row r="41" spans="1:12" ht="18" customHeight="1">
      <c r="A41" s="212" t="s">
        <v>110</v>
      </c>
      <c r="B41" s="213">
        <v>1200</v>
      </c>
      <c r="C41" s="211">
        <v>0.46064460000000002</v>
      </c>
      <c r="D41" s="205" t="s">
        <v>132</v>
      </c>
      <c r="E41" s="160"/>
      <c r="F41" s="105"/>
      <c r="G41" s="105"/>
      <c r="H41" s="105"/>
      <c r="I41" s="105"/>
      <c r="J41" s="105"/>
      <c r="K41" s="105"/>
      <c r="L41" s="106"/>
    </row>
    <row r="42" spans="1:12" ht="18" customHeight="1">
      <c r="A42" s="131"/>
      <c r="B42" s="133"/>
      <c r="C42" s="105"/>
      <c r="E42" s="105"/>
      <c r="F42" s="105"/>
      <c r="G42" s="105"/>
      <c r="H42" s="105"/>
      <c r="I42" s="105"/>
      <c r="J42" s="105"/>
      <c r="K42" s="105"/>
      <c r="L42" s="106"/>
    </row>
    <row r="43" spans="1:12" ht="18" customHeight="1">
      <c r="A43" s="131"/>
      <c r="B43" s="133"/>
      <c r="C43" s="105"/>
      <c r="E43" s="105"/>
      <c r="F43" s="105"/>
      <c r="G43" s="105"/>
      <c r="H43" s="105"/>
      <c r="I43" s="105"/>
      <c r="J43" s="105"/>
      <c r="K43" s="105"/>
      <c r="L43" s="106"/>
    </row>
    <row r="44" spans="1:12" ht="18" customHeight="1">
      <c r="A44" s="131"/>
      <c r="B44" s="133"/>
      <c r="C44" s="105"/>
      <c r="E44" s="105"/>
      <c r="F44" s="105"/>
      <c r="G44" s="105"/>
      <c r="H44" s="105"/>
      <c r="I44" s="105"/>
      <c r="J44" s="105"/>
      <c r="K44" s="105"/>
      <c r="L44" s="106"/>
    </row>
  </sheetData>
  <customSheetViews>
    <customSheetView guid="{7DC6D345-C4C0-4162-8636-D495A245EBF8}" showPageBreaks="1">
      <pane xSplit="1" ySplit="4" topLeftCell="B5" activePane="bottomRight" state="frozenSplit"/>
      <selection pane="bottomRight" activeCell="C9" sqref="C9"/>
      <pageMargins left="0.7" right="0.7" top="0.75" bottom="0.75" header="0.3" footer="0.3"/>
      <pageSetup paperSize="9" orientation="portrait"/>
    </customSheetView>
    <customSheetView guid="{67DDFA58-7FF7-4BDB-BFFF-31DB4021D095}" showPageBreaks="1" showGridLines="0">
      <selection activeCell="D15" sqref="D15"/>
      <pageMargins left="0.7" right="0.7" top="0.75" bottom="0.75" header="0.3" footer="0.3"/>
      <pageSetup paperSize="9" orientation="landscape"/>
    </customSheetView>
  </customSheetViews>
  <pageMargins left="0.19685039370078741" right="0.19685039370078741" top="0.23622047244094491" bottom="0" header="0.31496062992125984" footer="0.31496062992125984"/>
  <pageSetup paperSize="9" scale="95" orientation="landscape" r:id="rId1"/>
  <headerFooter>
    <oddHeader>&amp;CBezeq - The Israel Telecommunication Corp. Ltd</oddHeader>
    <oddFooter>&amp;R&amp;P of &amp;N
Dividends</oddFooter>
  </headerFooter>
  <rowBreaks count="1" manualBreakCount="1">
    <brk id="34" max="3" man="1"/>
  </rowBreaks>
  <drawing r:id="rId2"/>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IV252"/>
  <sheetViews>
    <sheetView showGridLines="0" tabSelected="1" workbookViewId="0">
      <selection activeCell="F17" sqref="F17"/>
    </sheetView>
  </sheetViews>
  <sheetFormatPr defaultColWidth="8.7109375" defaultRowHeight="12.75"/>
  <cols>
    <col min="1" max="1" width="34.42578125" style="104" customWidth="1"/>
    <col min="2" max="2" width="2.28515625" style="104" customWidth="1"/>
    <col min="3" max="10" width="10.28515625" style="104" customWidth="1"/>
    <col min="11" max="11" width="10.42578125" style="104" customWidth="1"/>
    <col min="12" max="12" width="17.42578125" style="104" customWidth="1"/>
    <col min="13" max="13" width="17.7109375" style="107" customWidth="1"/>
    <col min="14" max="14" width="9.28515625" style="107" customWidth="1"/>
    <col min="15" max="89" width="8.7109375" style="107"/>
    <col min="90" max="16384" width="8.7109375" style="104"/>
  </cols>
  <sheetData>
    <row r="1" spans="1:256" s="105" customFormat="1" ht="15.75">
      <c r="C1" s="225" t="s">
        <v>4</v>
      </c>
      <c r="D1" s="225"/>
      <c r="E1" s="225"/>
      <c r="F1" s="225"/>
      <c r="G1" s="225"/>
      <c r="H1" s="225"/>
      <c r="I1" s="225"/>
      <c r="J1" s="225"/>
      <c r="K1" s="225"/>
      <c r="L1" s="225"/>
      <c r="M1" s="106"/>
      <c r="N1" s="107"/>
      <c r="O1" s="107"/>
      <c r="P1" s="107"/>
      <c r="Q1" s="107"/>
      <c r="R1" s="107"/>
      <c r="S1" s="107"/>
      <c r="T1" s="107"/>
      <c r="U1" s="107"/>
      <c r="V1" s="107"/>
      <c r="W1" s="107"/>
      <c r="X1" s="107"/>
      <c r="Y1" s="107"/>
      <c r="Z1" s="107"/>
      <c r="AA1" s="107"/>
      <c r="AB1" s="107"/>
      <c r="AC1" s="107"/>
      <c r="AD1" s="107"/>
      <c r="AE1" s="107"/>
      <c r="AF1" s="107"/>
      <c r="AG1" s="107"/>
      <c r="AH1" s="107"/>
      <c r="AI1" s="107"/>
      <c r="AJ1" s="107"/>
      <c r="AK1" s="107"/>
      <c r="AL1" s="107"/>
      <c r="AM1" s="107"/>
      <c r="AN1" s="107"/>
      <c r="AO1" s="107"/>
      <c r="AP1" s="107"/>
      <c r="AQ1" s="107"/>
      <c r="AR1" s="107"/>
      <c r="AS1" s="107"/>
      <c r="AT1" s="107"/>
      <c r="AU1" s="107"/>
      <c r="AV1" s="107"/>
      <c r="AW1" s="107"/>
      <c r="AX1" s="107"/>
      <c r="AY1" s="107"/>
      <c r="AZ1" s="107"/>
      <c r="BA1" s="107"/>
      <c r="BB1" s="107"/>
      <c r="BC1" s="107"/>
      <c r="BD1" s="107"/>
      <c r="BE1" s="107"/>
      <c r="BF1" s="107"/>
      <c r="BG1" s="107"/>
      <c r="BH1" s="107"/>
      <c r="BI1" s="107"/>
      <c r="BJ1" s="107"/>
      <c r="BK1" s="107"/>
      <c r="BL1" s="107"/>
      <c r="BM1" s="107"/>
      <c r="BN1" s="107"/>
      <c r="BO1" s="107"/>
      <c r="BP1" s="107"/>
      <c r="BQ1" s="107"/>
      <c r="BR1" s="107"/>
      <c r="BS1" s="107"/>
      <c r="BT1" s="107"/>
      <c r="BU1" s="107"/>
      <c r="BV1" s="107"/>
      <c r="BW1" s="107"/>
      <c r="BX1" s="107"/>
      <c r="BY1" s="107"/>
      <c r="BZ1" s="107"/>
      <c r="CA1" s="107"/>
      <c r="CB1" s="107"/>
      <c r="CC1" s="107"/>
      <c r="CD1" s="107"/>
      <c r="CE1" s="107"/>
      <c r="CF1" s="107"/>
      <c r="CG1" s="107"/>
      <c r="CH1" s="107"/>
      <c r="CI1" s="107"/>
      <c r="CJ1" s="107"/>
      <c r="CK1" s="107"/>
    </row>
    <row r="2" spans="1:256" s="105" customFormat="1">
      <c r="M2" s="106"/>
      <c r="N2" s="107"/>
      <c r="O2" s="107"/>
      <c r="P2" s="107"/>
      <c r="Q2" s="107"/>
      <c r="R2" s="107"/>
      <c r="S2" s="107"/>
      <c r="T2" s="107"/>
      <c r="U2" s="107"/>
      <c r="V2" s="107"/>
      <c r="W2" s="107"/>
      <c r="X2" s="107"/>
      <c r="Y2" s="107"/>
      <c r="Z2" s="107"/>
      <c r="AA2" s="107"/>
      <c r="AB2" s="107"/>
      <c r="AC2" s="107"/>
      <c r="AD2" s="107"/>
      <c r="AE2" s="107"/>
      <c r="AF2" s="107"/>
      <c r="AG2" s="107"/>
      <c r="AH2" s="107"/>
      <c r="AI2" s="107"/>
      <c r="AJ2" s="107"/>
      <c r="AK2" s="107"/>
      <c r="AL2" s="107"/>
      <c r="AM2" s="107"/>
      <c r="AN2" s="107"/>
      <c r="AO2" s="107"/>
      <c r="AP2" s="107"/>
      <c r="AQ2" s="107"/>
      <c r="AR2" s="107"/>
      <c r="AS2" s="107"/>
      <c r="AT2" s="107"/>
      <c r="AU2" s="107"/>
      <c r="AV2" s="107"/>
      <c r="AW2" s="107"/>
      <c r="AX2" s="107"/>
      <c r="AY2" s="107"/>
      <c r="AZ2" s="107"/>
      <c r="BA2" s="107"/>
      <c r="BB2" s="107"/>
      <c r="BC2" s="107"/>
      <c r="BD2" s="107"/>
      <c r="BE2" s="107"/>
      <c r="BF2" s="107"/>
      <c r="BG2" s="107"/>
      <c r="BH2" s="107"/>
      <c r="BI2" s="107"/>
      <c r="BJ2" s="107"/>
      <c r="BK2" s="107"/>
      <c r="BL2" s="107"/>
      <c r="BM2" s="107"/>
      <c r="BN2" s="107"/>
      <c r="BO2" s="107"/>
      <c r="BP2" s="107"/>
      <c r="BQ2" s="107"/>
      <c r="BR2" s="107"/>
      <c r="BS2" s="107"/>
      <c r="BT2" s="107"/>
      <c r="BU2" s="107"/>
      <c r="BV2" s="107"/>
      <c r="BW2" s="107"/>
      <c r="BX2" s="107"/>
      <c r="BY2" s="107"/>
      <c r="BZ2" s="107"/>
      <c r="CA2" s="107"/>
      <c r="CB2" s="107"/>
      <c r="CC2" s="107"/>
      <c r="CD2" s="107"/>
      <c r="CE2" s="107"/>
      <c r="CF2" s="107"/>
      <c r="CG2" s="107"/>
      <c r="CH2" s="107"/>
      <c r="CI2" s="107"/>
      <c r="CJ2" s="107"/>
      <c r="CK2" s="107"/>
    </row>
    <row r="3" spans="1:256" s="105" customFormat="1" ht="23.25">
      <c r="C3" s="226" t="s">
        <v>54</v>
      </c>
      <c r="D3" s="226"/>
      <c r="E3" s="226"/>
      <c r="F3" s="226"/>
      <c r="G3" s="226"/>
      <c r="H3" s="226"/>
      <c r="I3" s="226"/>
      <c r="J3" s="226"/>
      <c r="K3" s="226"/>
      <c r="L3" s="226"/>
      <c r="M3" s="106"/>
      <c r="N3" s="107"/>
      <c r="O3" s="107"/>
      <c r="P3" s="107"/>
      <c r="Q3" s="107"/>
      <c r="R3" s="107"/>
      <c r="S3" s="107"/>
      <c r="T3" s="107"/>
      <c r="U3" s="107"/>
      <c r="V3" s="107"/>
      <c r="W3" s="107"/>
      <c r="X3" s="107"/>
      <c r="Y3" s="107"/>
      <c r="Z3" s="107"/>
      <c r="AA3" s="107"/>
      <c r="AB3" s="107"/>
      <c r="AC3" s="107"/>
      <c r="AD3" s="107"/>
      <c r="AE3" s="107"/>
      <c r="AF3" s="107"/>
      <c r="AG3" s="107"/>
      <c r="AH3" s="107"/>
      <c r="AI3" s="107"/>
      <c r="AJ3" s="107"/>
      <c r="AK3" s="107"/>
      <c r="AL3" s="107"/>
      <c r="AM3" s="107"/>
      <c r="AN3" s="107"/>
      <c r="AO3" s="107"/>
      <c r="AP3" s="107"/>
      <c r="AQ3" s="107"/>
      <c r="AR3" s="107"/>
      <c r="AS3" s="107"/>
      <c r="AT3" s="107"/>
      <c r="AU3" s="107"/>
      <c r="AV3" s="107"/>
      <c r="AW3" s="107"/>
      <c r="AX3" s="107"/>
      <c r="AY3" s="107"/>
      <c r="AZ3" s="107"/>
      <c r="BA3" s="107"/>
      <c r="BB3" s="107"/>
      <c r="BC3" s="107"/>
      <c r="BD3" s="107"/>
      <c r="BE3" s="107"/>
      <c r="BF3" s="107"/>
      <c r="BG3" s="107"/>
      <c r="BH3" s="107"/>
      <c r="BI3" s="107"/>
      <c r="BJ3" s="107"/>
      <c r="BK3" s="107"/>
      <c r="BL3" s="107"/>
      <c r="BM3" s="107"/>
      <c r="BN3" s="107"/>
      <c r="BO3" s="107"/>
      <c r="BP3" s="107"/>
      <c r="BQ3" s="107"/>
      <c r="BR3" s="107"/>
      <c r="BS3" s="107"/>
      <c r="BT3" s="107"/>
      <c r="BU3" s="107"/>
      <c r="BV3" s="107"/>
      <c r="BW3" s="107"/>
      <c r="BX3" s="107"/>
      <c r="BY3" s="107"/>
      <c r="BZ3" s="107"/>
      <c r="CA3" s="107"/>
      <c r="CB3" s="107"/>
      <c r="CC3" s="107"/>
      <c r="CD3" s="107"/>
      <c r="CE3" s="107"/>
      <c r="CF3" s="107"/>
      <c r="CG3" s="107"/>
      <c r="CH3" s="107"/>
      <c r="CI3" s="107"/>
      <c r="CJ3" s="107"/>
      <c r="CK3" s="107"/>
    </row>
    <row r="4" spans="1:256" s="105" customFormat="1" ht="9.75" customHeight="1">
      <c r="M4" s="106"/>
      <c r="N4" s="107"/>
      <c r="O4" s="107"/>
      <c r="P4" s="107"/>
      <c r="Q4" s="107"/>
      <c r="R4" s="107"/>
      <c r="S4" s="107"/>
      <c r="T4" s="107"/>
      <c r="U4" s="107"/>
      <c r="V4" s="107"/>
      <c r="W4" s="107"/>
      <c r="X4" s="107"/>
      <c r="Y4" s="107"/>
      <c r="Z4" s="107"/>
      <c r="AA4" s="107"/>
      <c r="AB4" s="107"/>
      <c r="AC4" s="107"/>
      <c r="AD4" s="107"/>
      <c r="AE4" s="107"/>
      <c r="AF4" s="107"/>
      <c r="AG4" s="107"/>
      <c r="AH4" s="107"/>
      <c r="AI4" s="107"/>
      <c r="AJ4" s="107"/>
      <c r="AK4" s="107"/>
      <c r="AL4" s="107"/>
      <c r="AM4" s="107"/>
      <c r="AN4" s="107"/>
      <c r="AO4" s="107"/>
      <c r="AP4" s="107"/>
      <c r="AQ4" s="107"/>
      <c r="AR4" s="107"/>
      <c r="AS4" s="107"/>
      <c r="AT4" s="107"/>
      <c r="AU4" s="107"/>
      <c r="AV4" s="107"/>
      <c r="AW4" s="107"/>
      <c r="AX4" s="107"/>
      <c r="AY4" s="107"/>
      <c r="AZ4" s="107"/>
      <c r="BA4" s="107"/>
      <c r="BB4" s="107"/>
      <c r="BC4" s="107"/>
      <c r="BD4" s="107"/>
      <c r="BE4" s="107"/>
      <c r="BF4" s="107"/>
      <c r="BG4" s="107"/>
      <c r="BH4" s="107"/>
      <c r="BI4" s="107"/>
      <c r="BJ4" s="107"/>
      <c r="BK4" s="107"/>
      <c r="BL4" s="107"/>
      <c r="BM4" s="107"/>
      <c r="BN4" s="107"/>
      <c r="BO4" s="107"/>
      <c r="BP4" s="107"/>
      <c r="BQ4" s="107"/>
      <c r="BR4" s="107"/>
      <c r="BS4" s="107"/>
      <c r="BT4" s="107"/>
      <c r="BU4" s="107"/>
      <c r="BV4" s="107"/>
      <c r="BW4" s="107"/>
      <c r="BX4" s="107"/>
      <c r="BY4" s="107"/>
      <c r="BZ4" s="107"/>
      <c r="CA4" s="107"/>
      <c r="CB4" s="107"/>
      <c r="CC4" s="107"/>
      <c r="CD4" s="107"/>
      <c r="CE4" s="107"/>
      <c r="CF4" s="107"/>
      <c r="CG4" s="107"/>
      <c r="CH4" s="107"/>
      <c r="CI4" s="107"/>
      <c r="CJ4" s="107"/>
      <c r="CK4" s="107"/>
    </row>
    <row r="5" spans="1:256" s="111" customFormat="1" ht="6.75" customHeight="1">
      <c r="A5" s="108"/>
      <c r="B5" s="109"/>
      <c r="C5" s="109"/>
      <c r="D5" s="109"/>
      <c r="E5" s="109"/>
      <c r="F5" s="109"/>
      <c r="G5" s="109"/>
      <c r="H5" s="109"/>
      <c r="I5" s="109"/>
      <c r="J5" s="109"/>
      <c r="K5" s="109"/>
      <c r="L5" s="109"/>
      <c r="M5" s="109"/>
      <c r="N5" s="109"/>
      <c r="O5" s="109"/>
      <c r="P5" s="109"/>
      <c r="Q5" s="109"/>
      <c r="R5" s="109"/>
      <c r="S5" s="109"/>
      <c r="T5" s="109"/>
      <c r="U5" s="109"/>
      <c r="V5" s="109"/>
      <c r="W5" s="109"/>
      <c r="X5" s="109"/>
      <c r="Y5" s="109"/>
      <c r="Z5" s="109"/>
      <c r="AA5" s="109"/>
      <c r="AB5" s="109"/>
      <c r="AC5" s="109"/>
      <c r="AD5" s="109"/>
      <c r="AE5" s="109"/>
      <c r="AF5" s="109"/>
      <c r="AG5" s="109"/>
      <c r="AH5" s="109"/>
      <c r="AI5" s="109"/>
      <c r="AJ5" s="110"/>
      <c r="AK5" s="110"/>
      <c r="AL5" s="110"/>
      <c r="AM5" s="110"/>
      <c r="AN5" s="110"/>
      <c r="AO5" s="110"/>
      <c r="AP5" s="110"/>
      <c r="AQ5" s="110"/>
      <c r="AR5" s="110"/>
      <c r="AS5" s="110"/>
      <c r="AT5" s="110"/>
      <c r="AU5" s="110"/>
      <c r="AV5" s="110"/>
      <c r="AW5" s="110"/>
      <c r="AX5" s="110"/>
      <c r="AY5" s="110"/>
      <c r="AZ5" s="110"/>
      <c r="BA5" s="110"/>
      <c r="BB5" s="110"/>
      <c r="BC5" s="110"/>
      <c r="BD5" s="110"/>
      <c r="BE5" s="110"/>
      <c r="BF5" s="110"/>
      <c r="BG5" s="110"/>
      <c r="BH5" s="110"/>
      <c r="BI5" s="110"/>
      <c r="BJ5" s="110"/>
      <c r="BK5" s="110"/>
      <c r="BL5" s="110"/>
      <c r="BM5" s="110"/>
      <c r="BN5" s="110"/>
      <c r="BO5" s="110"/>
      <c r="BP5" s="110"/>
      <c r="BQ5" s="110"/>
      <c r="BR5" s="110"/>
      <c r="BS5" s="110"/>
      <c r="BT5" s="110"/>
      <c r="BU5" s="110"/>
      <c r="BV5" s="110"/>
      <c r="BW5" s="110"/>
      <c r="BX5" s="110"/>
      <c r="BY5" s="110"/>
      <c r="BZ5" s="110"/>
      <c r="CA5" s="110"/>
      <c r="CB5" s="110"/>
      <c r="CC5" s="110"/>
      <c r="CD5" s="110"/>
      <c r="CE5" s="110"/>
      <c r="CF5" s="110"/>
      <c r="CG5" s="110"/>
      <c r="CH5" s="110"/>
      <c r="CI5" s="110"/>
      <c r="CJ5" s="110"/>
      <c r="CK5" s="110"/>
      <c r="CL5" s="110"/>
      <c r="CM5" s="110"/>
      <c r="CN5" s="110"/>
      <c r="CO5" s="110"/>
      <c r="CP5" s="110"/>
      <c r="CQ5" s="110"/>
      <c r="CR5" s="110"/>
      <c r="CS5" s="110"/>
      <c r="CT5" s="110"/>
      <c r="CU5" s="110"/>
      <c r="CV5" s="110"/>
      <c r="CW5" s="110"/>
      <c r="CX5" s="110"/>
      <c r="CY5" s="110"/>
      <c r="CZ5" s="110"/>
      <c r="DA5" s="110"/>
      <c r="DB5" s="110"/>
      <c r="DC5" s="110"/>
      <c r="DD5" s="110"/>
      <c r="DE5" s="110"/>
      <c r="DF5" s="110"/>
      <c r="DG5" s="110"/>
      <c r="DH5" s="110"/>
      <c r="DI5" s="110"/>
      <c r="DJ5" s="110"/>
      <c r="DK5" s="110"/>
      <c r="DL5" s="110"/>
      <c r="DM5" s="110"/>
      <c r="DN5" s="110"/>
      <c r="DO5" s="110"/>
      <c r="DP5" s="110"/>
      <c r="DQ5" s="110"/>
      <c r="DR5" s="110"/>
      <c r="DS5" s="110"/>
      <c r="DT5" s="110"/>
      <c r="DU5" s="110"/>
      <c r="DV5" s="110"/>
      <c r="DW5" s="110"/>
      <c r="DX5" s="110"/>
      <c r="DY5" s="110"/>
      <c r="DZ5" s="110"/>
      <c r="EA5" s="110"/>
      <c r="EB5" s="110"/>
      <c r="EC5" s="110"/>
      <c r="ED5" s="110"/>
      <c r="EE5" s="110"/>
      <c r="EF5" s="110"/>
      <c r="EG5" s="110"/>
      <c r="EH5" s="110"/>
      <c r="EI5" s="110"/>
      <c r="EJ5" s="110"/>
      <c r="EK5" s="110"/>
      <c r="EL5" s="110"/>
      <c r="EM5" s="110"/>
      <c r="EN5" s="110"/>
      <c r="EO5" s="110"/>
      <c r="EP5" s="110"/>
      <c r="EQ5" s="110"/>
      <c r="ER5" s="110"/>
      <c r="ES5" s="110"/>
      <c r="ET5" s="110"/>
      <c r="EU5" s="110"/>
      <c r="EV5" s="110"/>
      <c r="EW5" s="110"/>
      <c r="EX5" s="110"/>
      <c r="EY5" s="110"/>
      <c r="EZ5" s="110"/>
      <c r="FA5" s="110"/>
      <c r="FB5" s="110"/>
      <c r="FC5" s="110"/>
      <c r="FD5" s="110"/>
      <c r="FE5" s="110"/>
      <c r="FF5" s="110"/>
      <c r="FG5" s="110"/>
      <c r="FH5" s="110"/>
      <c r="FI5" s="110"/>
      <c r="FJ5" s="110"/>
      <c r="FK5" s="110"/>
      <c r="FL5" s="110"/>
      <c r="FM5" s="110"/>
      <c r="FN5" s="110"/>
      <c r="FO5" s="110"/>
      <c r="FP5" s="110"/>
      <c r="FQ5" s="110"/>
      <c r="FR5" s="110"/>
      <c r="FS5" s="110"/>
      <c r="FT5" s="110"/>
      <c r="FU5" s="110"/>
      <c r="FV5" s="110"/>
      <c r="FW5" s="110"/>
      <c r="FX5" s="110"/>
      <c r="FY5" s="110"/>
      <c r="FZ5" s="110"/>
      <c r="GA5" s="110"/>
      <c r="GB5" s="110"/>
      <c r="GC5" s="110"/>
      <c r="GD5" s="110"/>
      <c r="GE5" s="110"/>
      <c r="GF5" s="110"/>
      <c r="GG5" s="110"/>
      <c r="GH5" s="110"/>
      <c r="GI5" s="110"/>
      <c r="GJ5" s="110"/>
      <c r="GK5" s="110"/>
      <c r="GL5" s="110"/>
      <c r="GM5" s="110"/>
      <c r="GN5" s="110"/>
      <c r="GO5" s="110"/>
      <c r="GP5" s="110"/>
      <c r="GQ5" s="110"/>
      <c r="GR5" s="110"/>
      <c r="GS5" s="110"/>
      <c r="GT5" s="110"/>
      <c r="GU5" s="110"/>
      <c r="GV5" s="110"/>
      <c r="GW5" s="110"/>
      <c r="GX5" s="110"/>
      <c r="GY5" s="110"/>
      <c r="GZ5" s="110"/>
      <c r="HA5" s="110"/>
      <c r="HB5" s="110"/>
      <c r="HC5" s="110"/>
      <c r="HD5" s="110"/>
      <c r="HE5" s="110"/>
      <c r="HF5" s="110"/>
      <c r="HG5" s="110"/>
      <c r="HH5" s="110"/>
      <c r="HI5" s="110"/>
      <c r="HJ5" s="110"/>
      <c r="HK5" s="110"/>
      <c r="HL5" s="110"/>
      <c r="HM5" s="110"/>
      <c r="HN5" s="110"/>
      <c r="HO5" s="110"/>
      <c r="HP5" s="110"/>
      <c r="HQ5" s="110"/>
      <c r="HR5" s="110"/>
      <c r="HS5" s="110"/>
      <c r="HT5" s="110"/>
      <c r="HU5" s="110"/>
      <c r="HV5" s="110"/>
      <c r="HW5" s="110"/>
      <c r="HX5" s="110"/>
      <c r="HY5" s="110"/>
      <c r="HZ5" s="110"/>
      <c r="IA5" s="110"/>
      <c r="IB5" s="110"/>
      <c r="IC5" s="110"/>
      <c r="ID5" s="110"/>
      <c r="IE5" s="110"/>
      <c r="IF5" s="110"/>
      <c r="IG5" s="110"/>
      <c r="IH5" s="110"/>
      <c r="II5" s="110"/>
      <c r="IJ5" s="110"/>
      <c r="IK5" s="110"/>
      <c r="IL5" s="110"/>
      <c r="IM5" s="110"/>
      <c r="IN5" s="110"/>
      <c r="IO5" s="110"/>
      <c r="IP5" s="110"/>
      <c r="IQ5" s="110"/>
      <c r="IR5" s="110"/>
      <c r="IS5" s="110"/>
      <c r="IT5" s="110"/>
      <c r="IU5" s="110"/>
      <c r="IV5" s="110"/>
    </row>
    <row r="6" spans="1:256">
      <c r="A6" s="112"/>
      <c r="B6" s="105"/>
      <c r="C6" s="105"/>
      <c r="D6" s="105"/>
      <c r="E6" s="105"/>
      <c r="F6" s="105"/>
      <c r="G6" s="105"/>
      <c r="H6" s="105"/>
      <c r="I6" s="105"/>
      <c r="J6" s="105"/>
      <c r="K6" s="105"/>
      <c r="L6" s="105"/>
      <c r="M6" s="106"/>
    </row>
    <row r="7" spans="1:256" s="114" customFormat="1">
      <c r="A7" s="113" t="s">
        <v>40</v>
      </c>
    </row>
    <row r="8" spans="1:256">
      <c r="A8" s="105"/>
      <c r="B8" s="105"/>
      <c r="C8" s="115"/>
      <c r="D8" s="105"/>
      <c r="E8" s="105"/>
      <c r="F8" s="105"/>
      <c r="G8" s="105"/>
      <c r="H8" s="105"/>
      <c r="I8" s="105"/>
      <c r="J8" s="105"/>
      <c r="K8" s="105"/>
      <c r="L8" s="105"/>
      <c r="M8" s="106"/>
    </row>
    <row r="9" spans="1:256">
      <c r="A9" s="116" t="s">
        <v>9</v>
      </c>
      <c r="B9" s="116" t="s">
        <v>37</v>
      </c>
      <c r="C9" s="116" t="s">
        <v>265</v>
      </c>
      <c r="D9" s="105"/>
      <c r="E9" s="105"/>
      <c r="F9" s="105"/>
      <c r="G9" s="105"/>
      <c r="H9" s="105"/>
      <c r="I9" s="105"/>
      <c r="J9" s="105"/>
      <c r="K9" s="105"/>
      <c r="L9" s="105"/>
      <c r="M9" s="106"/>
    </row>
    <row r="10" spans="1:256">
      <c r="A10" s="116" t="s">
        <v>215</v>
      </c>
      <c r="B10" s="116" t="s">
        <v>37</v>
      </c>
      <c r="C10" s="116" t="s">
        <v>277</v>
      </c>
      <c r="D10" s="105"/>
      <c r="E10" s="105"/>
      <c r="F10" s="105"/>
      <c r="G10" s="105"/>
      <c r="H10" s="105"/>
      <c r="I10" s="105"/>
      <c r="J10" s="105"/>
      <c r="K10" s="105"/>
      <c r="L10" s="105"/>
      <c r="M10" s="106"/>
    </row>
    <row r="11" spans="1:256">
      <c r="A11" s="116" t="s">
        <v>13</v>
      </c>
      <c r="B11" s="116" t="s">
        <v>37</v>
      </c>
      <c r="C11" s="116" t="s">
        <v>270</v>
      </c>
      <c r="D11" s="105"/>
      <c r="E11" s="105"/>
      <c r="F11" s="105"/>
      <c r="G11" s="105"/>
      <c r="H11" s="105"/>
      <c r="I11" s="105"/>
      <c r="J11" s="105"/>
      <c r="K11" s="105"/>
      <c r="L11" s="105"/>
      <c r="M11" s="106"/>
    </row>
    <row r="12" spans="1:256">
      <c r="A12" s="116" t="s">
        <v>59</v>
      </c>
      <c r="B12" s="116" t="s">
        <v>37</v>
      </c>
      <c r="C12" s="116" t="s">
        <v>77</v>
      </c>
      <c r="D12" s="105"/>
      <c r="E12" s="105"/>
      <c r="F12" s="105"/>
      <c r="G12" s="105"/>
      <c r="H12" s="105"/>
      <c r="I12" s="105"/>
      <c r="J12" s="105"/>
      <c r="K12" s="105"/>
      <c r="L12" s="105"/>
      <c r="M12" s="106"/>
    </row>
    <row r="13" spans="1:256">
      <c r="A13" s="116" t="s">
        <v>269</v>
      </c>
      <c r="B13" s="116" t="s">
        <v>37</v>
      </c>
      <c r="C13" s="116" t="s">
        <v>278</v>
      </c>
      <c r="D13" s="105"/>
      <c r="E13" s="105"/>
      <c r="F13" s="105"/>
      <c r="G13" s="105"/>
      <c r="H13" s="105"/>
      <c r="I13" s="105"/>
      <c r="J13" s="105"/>
      <c r="K13" s="105"/>
      <c r="L13" s="105"/>
      <c r="M13" s="106"/>
    </row>
    <row r="14" spans="1:256">
      <c r="A14" s="116" t="s">
        <v>75</v>
      </c>
      <c r="B14" s="116" t="s">
        <v>37</v>
      </c>
      <c r="C14" s="116" t="s">
        <v>76</v>
      </c>
      <c r="D14" s="105"/>
      <c r="E14" s="105"/>
      <c r="F14" s="105"/>
      <c r="G14" s="105"/>
      <c r="H14" s="105"/>
      <c r="I14" s="105"/>
      <c r="J14" s="105"/>
      <c r="K14" s="105"/>
      <c r="L14" s="105"/>
      <c r="M14" s="106"/>
    </row>
    <row r="15" spans="1:256">
      <c r="A15" s="116" t="s">
        <v>36</v>
      </c>
      <c r="B15" s="116" t="s">
        <v>37</v>
      </c>
      <c r="C15" s="116" t="s">
        <v>60</v>
      </c>
      <c r="D15" s="105"/>
      <c r="E15" s="105"/>
      <c r="F15" s="105"/>
      <c r="G15" s="105"/>
      <c r="H15" s="105"/>
      <c r="I15" s="105"/>
      <c r="J15" s="105"/>
      <c r="K15" s="105"/>
      <c r="L15" s="105"/>
      <c r="M15" s="106"/>
    </row>
    <row r="16" spans="1:256">
      <c r="A16" s="116" t="s">
        <v>38</v>
      </c>
      <c r="B16" s="116" t="s">
        <v>37</v>
      </c>
      <c r="C16" s="116" t="s">
        <v>61</v>
      </c>
      <c r="D16" s="105"/>
      <c r="E16" s="105"/>
      <c r="F16" s="105"/>
      <c r="G16" s="105"/>
      <c r="H16" s="105"/>
      <c r="I16" s="105"/>
      <c r="J16" s="105"/>
      <c r="K16" s="105"/>
      <c r="L16" s="105"/>
      <c r="M16" s="106"/>
    </row>
    <row r="17" spans="1:13">
      <c r="A17" s="116" t="s">
        <v>45</v>
      </c>
      <c r="B17" s="116" t="s">
        <v>37</v>
      </c>
      <c r="C17" s="116" t="s">
        <v>62</v>
      </c>
      <c r="D17" s="105"/>
      <c r="E17" s="105"/>
      <c r="F17" s="105"/>
      <c r="G17" s="105"/>
      <c r="H17" s="105"/>
      <c r="I17" s="105"/>
      <c r="J17" s="105"/>
      <c r="K17" s="105"/>
      <c r="L17" s="105"/>
      <c r="M17" s="106"/>
    </row>
    <row r="18" spans="1:13">
      <c r="A18" s="116" t="s">
        <v>44</v>
      </c>
      <c r="B18" s="116" t="s">
        <v>37</v>
      </c>
      <c r="C18" s="116" t="s">
        <v>63</v>
      </c>
      <c r="D18" s="105"/>
      <c r="E18" s="105"/>
      <c r="F18" s="105"/>
      <c r="G18" s="105"/>
      <c r="H18" s="105"/>
      <c r="I18" s="105"/>
      <c r="J18" s="105"/>
      <c r="K18" s="105"/>
      <c r="L18" s="105"/>
      <c r="M18" s="106"/>
    </row>
    <row r="19" spans="1:13">
      <c r="A19" s="116"/>
      <c r="B19" s="116"/>
      <c r="C19" s="116"/>
      <c r="D19" s="105"/>
      <c r="E19" s="105"/>
      <c r="F19" s="105"/>
      <c r="G19" s="105"/>
      <c r="H19" s="105"/>
      <c r="I19" s="105"/>
      <c r="J19" s="105"/>
      <c r="K19" s="105"/>
      <c r="L19" s="105"/>
      <c r="M19" s="106"/>
    </row>
    <row r="20" spans="1:13">
      <c r="A20" s="117"/>
    </row>
    <row r="23" spans="1:13" ht="6" customHeight="1"/>
    <row r="25" spans="1:13">
      <c r="A25" s="118"/>
    </row>
    <row r="26" spans="1:13" ht="7.5" customHeight="1"/>
    <row r="250" spans="23:23">
      <c r="W250" s="107">
        <v>118</v>
      </c>
    </row>
    <row r="252" spans="23:23">
      <c r="W252" s="121">
        <v>-9.1999999999999998E-2</v>
      </c>
    </row>
  </sheetData>
  <dataConsolidate/>
  <customSheetViews>
    <customSheetView guid="{C6BBAF30-1E81-42FB-BA93-01B6813E2C8C}" showPageBreaks="1" printArea="1" showRuler="0">
      <pageMargins left="0.7" right="0.7" top="0.75" bottom="0.75" header="0.3" footer="0.3"/>
      <printOptions horizontalCentered="1"/>
      <pageSetup scale="83" orientation="landscape"/>
      <headerFooter alignWithMargins="0"/>
    </customSheetView>
    <customSheetView guid="{F07085DA-2B2D-4BE1-891D-F25D604A092E}" showPageBreaks="1" printArea="1" showRuler="0" topLeftCell="A22">
      <selection activeCell="A77" sqref="A77"/>
      <pageMargins left="0.7" right="0.7" top="0.75" bottom="0.75" header="0.3" footer="0.3"/>
      <pageSetup scale="85" orientation="landscape"/>
      <headerFooter alignWithMargins="0"/>
    </customSheetView>
    <customSheetView guid="{6A44E415-E6EC-4CA2-8B4C-A374F00F0261}" showPageBreaks="1" printArea="1" showRuler="0">
      <pageMargins left="0.7" right="0.7" top="0.75" bottom="0.75" header="0.3" footer="0.3"/>
      <pageSetup scale="85" orientation="landscape"/>
      <headerFooter alignWithMargins="0"/>
    </customSheetView>
    <customSheetView guid="{C32ED439-2914-4073-BFBF-7718D6CFE811}" showPageBreaks="1" showGridLines="0" printArea="1">
      <selection activeCell="I17" sqref="I17"/>
      <pageMargins left="0.7" right="0.7" top="0.75" bottom="0.75" header="0.3" footer="0.3"/>
      <pageSetup scale="80" orientation="landscape"/>
      <headerFooter scaleWithDoc="0" alignWithMargins="0"/>
    </customSheetView>
    <customSheetView guid="{44BC518B-F505-4956-BE42-792973965029}" showPageBreaks="1" showGridLines="0" printArea="1" showRuler="0" topLeftCell="A28">
      <selection activeCell="M263" sqref="M263"/>
      <pageMargins left="0.7" right="0.7" top="0.75" bottom="0.75" header="0.3" footer="0.3"/>
      <pageSetup scale="85" orientation="landscape"/>
      <headerFooter alignWithMargins="0"/>
    </customSheetView>
    <customSheetView guid="{7DC6D345-C4C0-4162-8636-D495A245EBF8}" showPageBreaks="1" showGridLines="0" printArea="1">
      <selection activeCell="A9" sqref="A9"/>
      <pageMargins left="0.7" right="0.7" top="0.75" bottom="0.75" header="0.3" footer="0.3"/>
      <pageSetup scale="85" orientation="landscape"/>
      <headerFooter scaleWithDoc="0" alignWithMargins="0"/>
    </customSheetView>
    <customSheetView guid="{67DDFA58-7FF7-4BDB-BFFF-31DB4021D095}" showGridLines="0">
      <selection activeCell="D27" sqref="D27"/>
      <pageMargins left="0.7" right="0.7" top="0.75" bottom="0.75" header="0.3" footer="0.3"/>
      <pageSetup scale="85" orientation="landscape"/>
      <headerFooter scaleWithDoc="0" alignWithMargins="0"/>
    </customSheetView>
  </customSheetViews>
  <mergeCells count="2">
    <mergeCell ref="C1:L1"/>
    <mergeCell ref="C3:L3"/>
  </mergeCells>
  <phoneticPr fontId="4" type="noConversion"/>
  <pageMargins left="0.51181102362204722" right="0.23622047244094491" top="0.47244094488188981" bottom="0.59055118110236227" header="0.51181102362204722" footer="0.23622047244094491"/>
  <pageSetup scale="85" orientation="landscape" r:id="rId1"/>
  <headerFooter scaleWithDoc="0" alignWithMargins="0">
    <oddHeader>&amp;CBezeq - The Israel Telecommunication Corp. Ltd</oddHeader>
    <oddFooter>&amp;R&amp;P of &amp;N
Glossary</oddFooter>
  </headerFooter>
  <drawing r:id="rId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גליונות עבודה</vt:lpstr>
      </vt:variant>
      <vt:variant>
        <vt:i4>6</vt:i4>
      </vt:variant>
      <vt:variant>
        <vt:lpstr>טווחים בעלי שם</vt:lpstr>
      </vt:variant>
      <vt:variant>
        <vt:i4>13</vt:i4>
      </vt:variant>
    </vt:vector>
  </HeadingPairs>
  <TitlesOfParts>
    <vt:vector size="19" baseType="lpstr">
      <vt:lpstr>Index</vt:lpstr>
      <vt:lpstr>I - Financials</vt:lpstr>
      <vt:lpstr>II- Other income-exp</vt:lpstr>
      <vt:lpstr>III - KPIs</vt:lpstr>
      <vt:lpstr>IV - Dividends</vt:lpstr>
      <vt:lpstr>V - Glossary </vt:lpstr>
      <vt:lpstr>'III - KPIs'!_ftn1</vt:lpstr>
      <vt:lpstr>'III - KPIs'!_ftn2</vt:lpstr>
      <vt:lpstr>'III - KPIs'!_ftnref1</vt:lpstr>
      <vt:lpstr>'III - KPIs'!_ftnref2</vt:lpstr>
      <vt:lpstr>'I - Financials'!WPrint_Area_W</vt:lpstr>
      <vt:lpstr>'II- Other income-exp'!WPrint_Area_W</vt:lpstr>
      <vt:lpstr>'III - KPIs'!WPrint_Area_W</vt:lpstr>
      <vt:lpstr>Index!WPrint_Area_W</vt:lpstr>
      <vt:lpstr>'IV - Dividends'!WPrint_Area_W</vt:lpstr>
      <vt:lpstr>'V - Glossary '!WPrint_Area_W</vt:lpstr>
      <vt:lpstr>'I - Financials'!WPrint_TitlesW</vt:lpstr>
      <vt:lpstr>'III - KPIs'!WPrint_TitlesW</vt:lpstr>
      <vt:lpstr>'IV - Dividends'!WPrint_TitlesW</vt:lpstr>
    </vt:vector>
  </TitlesOfParts>
  <Company>בזק</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bezeq</dc:creator>
  <cp:lastModifiedBy>נפתלי שטרנליכט - חטיבת כספים - Naftali Shternlicht</cp:lastModifiedBy>
  <cp:lastPrinted>2018-05-23T13:57:05Z</cp:lastPrinted>
  <dcterms:created xsi:type="dcterms:W3CDTF">1999-09-09T08:56:33Z</dcterms:created>
  <dcterms:modified xsi:type="dcterms:W3CDTF">2018-05-23T13:59:12Z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