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merkaz\azrieli\planning_corp\נפתלי שטרנליכט\IR\Materials\2021\Q4 &amp; FY 2021\Metrics\Metrics -Q4 &amp; FY 2021- without formulas\"/>
    </mc:Choice>
  </mc:AlternateContent>
  <bookViews>
    <workbookView xWindow="0" yWindow="0" windowWidth="12240" windowHeight="9240" tabRatio="878" firstSheet="7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KPIs!$AP$90</definedName>
    <definedName name="_ftn2" localSheetId="12">KPIs!#REF!</definedName>
    <definedName name="_ftnref1" localSheetId="12">KPIs!$AP$84</definedName>
    <definedName name="_ftnref2" localSheetId="12">KPIs!$AP$85</definedName>
    <definedName name="ProjectName">{"Client Name or Project Name"}</definedName>
    <definedName name="_xlnm.Print_Area" localSheetId="6">' Segments'!$A$1:$AN$22</definedName>
    <definedName name="_xlnm.Print_Area" localSheetId="9">'B. Intl'!$A$1:$AC$73</definedName>
    <definedName name="_xlnm.Print_Area" localSheetId="14">'Debt Repayments'!$B$1:$F$59</definedName>
    <definedName name="_xlnm.Print_Area" localSheetId="16">Dividends!$A$10:$D$43</definedName>
    <definedName name="_xlnm.Print_Area" localSheetId="7">'Fixed-Line'!$A$1:$AD$125</definedName>
    <definedName name="_xlnm.Print_Area" localSheetId="17">'Glossary '!$A$1:$L$20</definedName>
    <definedName name="_xlnm.Print_Area" localSheetId="3">'Group BS'!$A$4:$N$50</definedName>
    <definedName name="_xlnm.Print_Area" localSheetId="2">'Group CF'!$A$1:$U$43</definedName>
    <definedName name="_xlnm.Print_Area" localSheetId="13">'Group Guidance'!$B$1:$I$19</definedName>
    <definedName name="_xlnm.Print_Area" localSheetId="1">'Group P&amp;L'!$A$1:$U$72</definedName>
    <definedName name="_xlnm.Print_Area" localSheetId="4">'Group-Adj #s'!$A$1:$U$40</definedName>
    <definedName name="_xlnm.Print_Area" localSheetId="5">'Group-Other'!$A$4:$AQ$76</definedName>
    <definedName name="_xlnm.Print_Area" localSheetId="0">Index!$A$1:$L$33</definedName>
    <definedName name="_xlnm.Print_Area" localSheetId="12">KPIs!$A$1:$BT$148</definedName>
    <definedName name="_xlnm.Print_Area" localSheetId="8">Pelephone!$A$1:$AD$68</definedName>
    <definedName name="_xlnm.Print_Area" localSheetId="11">'Subs-Adj #s'!$A$1:$Y$58</definedName>
    <definedName name="_xlnm.Print_Area" localSheetId="10">yes!$A$1:$AD$100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KPIs!$1:$4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P&amp;L'!$A$1:$A$72</definedName>
    <definedName name="Z_44BC518B_F505_4956_BE42_792973965029_.wvu.PrintArea" localSheetId="0" hidden="1">Index!$A$1:$L$32</definedName>
    <definedName name="Z_44BC518B_F505_4956_BE42_792973965029_.wvu.PrintArea" localSheetId="12" hidden="1">KPIs!$A$1:$R$145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P&amp;L'!$A$1:$A$72</definedName>
    <definedName name="Z_67DDFA58_7FF7_4BDB_BFFF_31DB4021D095_.wvu.PrintArea" localSheetId="0" hidden="1">Index!$A$1:$L$32</definedName>
    <definedName name="Z_67DDFA58_7FF7_4BDB_BFFF_31DB4021D095_.wvu.PrintArea" localSheetId="12" hidden="1">KPIs!$A$1:$AD$145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P&amp;L'!$A$1:$A$72</definedName>
    <definedName name="Z_6A44E415_E6EC_4CA2_8B4C_A374F00F0261_.wvu.PrintArea" localSheetId="0" hidden="1">Index!$A$1:$L$32</definedName>
    <definedName name="Z_6A44E415_E6EC_4CA2_8B4C_A374F00F0261_.wvu.PrintArea" localSheetId="12" hidden="1">KPIs!$A$1:$I$145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P&amp;L'!$A$1:$A$72</definedName>
    <definedName name="Z_7DC6D345_C4C0_4162_8636_D495A245EBF8_.wvu.PrintArea" localSheetId="0" hidden="1">Index!$A$1:$L$32</definedName>
    <definedName name="Z_7DC6D345_C4C0_4162_8636_D495A245EBF8_.wvu.PrintArea" localSheetId="12" hidden="1">KPIs!$A$1:$AD$145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P&amp;L'!$A$1:$A$72</definedName>
    <definedName name="Z_C32ED439_2914_4073_BFBF_7718D6CFE811_.wvu.PrintArea" localSheetId="0" hidden="1">Index!$A$1:$L$32</definedName>
    <definedName name="Z_C32ED439_2914_4073_BFBF_7718D6CFE811_.wvu.PrintArea" localSheetId="12" hidden="1">KPIs!$A$1:$R$145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P&amp;L'!$A$1:$A$72</definedName>
    <definedName name="Z_C6BBAF30_1E81_42FB_BA93_01B6813E2C8C_.wvu.PrintArea" localSheetId="0" hidden="1">Index!$A$1:$L$32</definedName>
    <definedName name="Z_C6BBAF30_1E81_42FB_BA93_01B6813E2C8C_.wvu.PrintArea" localSheetId="12" hidden="1">KPIs!$A$1:$O$145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P&amp;L'!$A$1:$A$72</definedName>
    <definedName name="Z_F07085DA_2B2D_4BE1_891D_F25D604A092E_.wvu.PrintArea" localSheetId="0" hidden="1">Index!$A$1:$L$32</definedName>
    <definedName name="Z_F07085DA_2B2D_4BE1_891D_F25D604A092E_.wvu.PrintArea" localSheetId="12" hidden="1">KPIs!$A$1:$M$145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eknettel - Personal View" guid="{67DDFA58-7FF7-4BDB-BFFF-31DB4021D095}" mergeInterval="0" personalView="1" maximized="1" xWindow="1" yWindow="1" windowWidth="1362" windowHeight="538" tabRatio="675" activeSheetId="6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30210485 - תצוגה אישית" guid="{44BC518B-F505-4956-BE42-792973965029}" mergeInterval="0" personalView="1" maximized="1" xWindow="1" yWindow="1" windowWidth="1024" windowHeight="548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703826 - תצוגה אישית" guid="{6A44E415-E6EC-4CA2-8B4C-A374F00F0261}" mergeInterval="0" personalView="1" maximized="1" windowWidth="1276" windowHeight="661" activeSheetId="2"/>
    <customWorkbookView name="Administrator - תצוגה אישית" guid="{F07085DA-2B2D-4BE1-891D-F25D604A092E}" mergeInterval="0" personalView="1" maximized="1" windowWidth="796" windowHeight="371" activeSheetId="2"/>
    <customWorkbookView name="Administrator - Personal View" guid="{C6BBAF30-1E81-42FB-BA93-01B6813E2C8C}" mergeInterval="0" personalView="1" maximized="1" windowWidth="1020" windowHeight="569" tabRatio="597" activeSheetId="1"/>
  </customWorkbookViews>
</workbook>
</file>

<file path=xl/calcChain.xml><?xml version="1.0" encoding="utf-8"?>
<calcChain xmlns="http://schemas.openxmlformats.org/spreadsheetml/2006/main">
  <c r="BO131" i="3" l="1"/>
  <c r="BO136" i="3"/>
  <c r="BO135" i="3"/>
  <c r="BO130" i="3"/>
  <c r="F58" i="8" l="1"/>
  <c r="E58" i="8"/>
  <c r="D58" i="8"/>
  <c r="C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48" i="8"/>
  <c r="E48" i="8"/>
  <c r="D48" i="8"/>
  <c r="C48" i="8"/>
  <c r="F47" i="8"/>
  <c r="F46" i="8"/>
  <c r="F45" i="8"/>
  <c r="F44" i="8"/>
  <c r="F43" i="8"/>
  <c r="F37" i="8"/>
  <c r="E37" i="8"/>
  <c r="D37" i="8"/>
  <c r="C37" i="8"/>
  <c r="F36" i="8"/>
  <c r="F35" i="8"/>
  <c r="F34" i="8"/>
  <c r="F33" i="8"/>
  <c r="F32" i="8"/>
  <c r="F26" i="8"/>
  <c r="E26" i="8"/>
  <c r="D26" i="8"/>
  <c r="C26" i="8"/>
  <c r="F25" i="8"/>
  <c r="F24" i="8"/>
  <c r="F23" i="8"/>
  <c r="F22" i="8"/>
  <c r="F21" i="8"/>
  <c r="BE349" i="3"/>
  <c r="T247" i="3"/>
  <c r="T250" i="3" s="1"/>
  <c r="O247" i="3"/>
  <c r="AG219" i="3"/>
  <c r="AG222" i="3" s="1"/>
  <c r="AK194" i="3"/>
  <c r="BT145" i="3"/>
  <c r="BO145" i="3"/>
  <c r="BJ145" i="3"/>
  <c r="BE145" i="3"/>
  <c r="AZ145" i="3"/>
  <c r="AU145" i="3"/>
  <c r="AP145" i="3"/>
  <c r="AK145" i="3"/>
  <c r="AF145" i="3"/>
  <c r="AA145" i="3"/>
  <c r="V145" i="3"/>
  <c r="Q145" i="3"/>
  <c r="L145" i="3"/>
  <c r="BS144" i="3"/>
  <c r="BN144" i="3"/>
  <c r="BI144" i="3"/>
  <c r="BS142" i="3"/>
  <c r="BN142" i="3"/>
  <c r="BI142" i="3"/>
  <c r="BD142" i="3"/>
  <c r="AT142" i="3"/>
  <c r="BT140" i="3"/>
  <c r="BS140" i="3"/>
  <c r="BR140" i="3"/>
  <c r="BQ140" i="3"/>
  <c r="BP140" i="3"/>
  <c r="BO140" i="3"/>
  <c r="BN140" i="3"/>
  <c r="BM140" i="3"/>
  <c r="BL140" i="3"/>
  <c r="BK140" i="3"/>
  <c r="BJ140" i="3"/>
  <c r="BI140" i="3"/>
  <c r="BH140" i="3"/>
  <c r="BG140" i="3"/>
  <c r="BF140" i="3"/>
  <c r="BE140" i="3"/>
  <c r="BD140" i="3"/>
  <c r="BC140" i="3"/>
  <c r="BB140" i="3"/>
  <c r="BA140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BS139" i="3"/>
  <c r="BR139" i="3"/>
  <c r="BQ139" i="3"/>
  <c r="BP139" i="3"/>
  <c r="BN139" i="3"/>
  <c r="BM139" i="3"/>
  <c r="BL139" i="3"/>
  <c r="BK139" i="3"/>
  <c r="BI139" i="3"/>
  <c r="BH139" i="3"/>
  <c r="BG139" i="3"/>
  <c r="BF139" i="3"/>
  <c r="BD139" i="3"/>
  <c r="BC139" i="3"/>
  <c r="BB139" i="3"/>
  <c r="BA139" i="3"/>
  <c r="AY139" i="3"/>
  <c r="AX139" i="3"/>
  <c r="AW139" i="3"/>
  <c r="AV139" i="3"/>
  <c r="AT139" i="3"/>
  <c r="AS139" i="3"/>
  <c r="AR139" i="3"/>
  <c r="AQ139" i="3"/>
  <c r="AO139" i="3"/>
  <c r="AN139" i="3"/>
  <c r="AM139" i="3"/>
  <c r="AL139" i="3"/>
  <c r="AJ139" i="3"/>
  <c r="AI139" i="3"/>
  <c r="AH139" i="3"/>
  <c r="AG139" i="3"/>
  <c r="AE139" i="3"/>
  <c r="AD139" i="3"/>
  <c r="AC139" i="3"/>
  <c r="AB139" i="3"/>
  <c r="Z139" i="3"/>
  <c r="Y139" i="3"/>
  <c r="X139" i="3"/>
  <c r="W139" i="3"/>
  <c r="U139" i="3"/>
  <c r="T139" i="3"/>
  <c r="S139" i="3"/>
  <c r="R139" i="3"/>
  <c r="P139" i="3"/>
  <c r="O139" i="3"/>
  <c r="N139" i="3"/>
  <c r="M139" i="3"/>
  <c r="K139" i="3"/>
  <c r="J139" i="3"/>
  <c r="I139" i="3"/>
  <c r="H139" i="3"/>
  <c r="F139" i="3"/>
  <c r="E139" i="3"/>
  <c r="D139" i="3"/>
  <c r="BT137" i="3"/>
  <c r="BR137" i="3"/>
  <c r="BQ137" i="3"/>
  <c r="BP137" i="3"/>
  <c r="BO137" i="3"/>
  <c r="BN137" i="3"/>
  <c r="BM137" i="3"/>
  <c r="BL137" i="3"/>
  <c r="BK137" i="3"/>
  <c r="BT136" i="3"/>
  <c r="BS136" i="3"/>
  <c r="BR136" i="3"/>
  <c r="BQ136" i="3"/>
  <c r="BP136" i="3"/>
  <c r="BN136" i="3"/>
  <c r="BM136" i="3"/>
  <c r="BL136" i="3"/>
  <c r="BT135" i="3"/>
  <c r="BS135" i="3"/>
  <c r="BR135" i="3"/>
  <c r="BQ135" i="3"/>
  <c r="BP135" i="3"/>
  <c r="BS134" i="3"/>
  <c r="BR134" i="3"/>
  <c r="BQ134" i="3"/>
  <c r="BP134" i="3"/>
  <c r="BN134" i="3"/>
  <c r="BM134" i="3"/>
  <c r="BL134" i="3"/>
  <c r="BT131" i="3"/>
  <c r="BS131" i="3"/>
  <c r="BR131" i="3"/>
  <c r="BQ131" i="3"/>
  <c r="BP131" i="3"/>
  <c r="BN131" i="3"/>
  <c r="BM131" i="3"/>
  <c r="BL131" i="3"/>
  <c r="BT130" i="3"/>
  <c r="BS130" i="3"/>
  <c r="BR130" i="3"/>
  <c r="BQ130" i="3"/>
  <c r="BP130" i="3"/>
  <c r="BS129" i="3"/>
  <c r="BR129" i="3"/>
  <c r="BQ129" i="3"/>
  <c r="BP129" i="3"/>
  <c r="BN129" i="3"/>
  <c r="BM129" i="3"/>
  <c r="BL129" i="3"/>
  <c r="BR126" i="3"/>
  <c r="BM126" i="3"/>
  <c r="BR124" i="3"/>
  <c r="BM124" i="3"/>
  <c r="BT123" i="3"/>
  <c r="BT126" i="3" s="1"/>
  <c r="BR123" i="3"/>
  <c r="BR125" i="3" s="1"/>
  <c r="BQ123" i="3"/>
  <c r="BQ126" i="3" s="1"/>
  <c r="BP123" i="3"/>
  <c r="BP126" i="3" s="1"/>
  <c r="BO123" i="3"/>
  <c r="BN123" i="3"/>
  <c r="BN126" i="3" s="1"/>
  <c r="BM123" i="3"/>
  <c r="BL123" i="3"/>
  <c r="BL126" i="3" s="1"/>
  <c r="BK123" i="3"/>
  <c r="BT121" i="3"/>
  <c r="BR121" i="3"/>
  <c r="BQ121" i="3"/>
  <c r="BP121" i="3"/>
  <c r="BO121" i="3"/>
  <c r="BN121" i="3"/>
  <c r="BM121" i="3"/>
  <c r="BL121" i="3"/>
  <c r="BJ121" i="3"/>
  <c r="BH121" i="3"/>
  <c r="BG121" i="3"/>
  <c r="BF121" i="3"/>
  <c r="BE121" i="3"/>
  <c r="BC121" i="3"/>
  <c r="BB121" i="3"/>
  <c r="BA121" i="3"/>
  <c r="AZ121" i="3"/>
  <c r="AY121" i="3"/>
  <c r="AX121" i="3"/>
  <c r="AW121" i="3"/>
  <c r="AV121" i="3"/>
  <c r="AU121" i="3"/>
  <c r="AT121" i="3"/>
  <c r="AS121" i="3"/>
  <c r="AR121" i="3"/>
  <c r="AQ121" i="3"/>
  <c r="AO121" i="3"/>
  <c r="AN121" i="3"/>
  <c r="AM121" i="3"/>
  <c r="BT120" i="3"/>
  <c r="BR120" i="3"/>
  <c r="BQ120" i="3"/>
  <c r="BP120" i="3"/>
  <c r="BO120" i="3"/>
  <c r="BM120" i="3"/>
  <c r="BL120" i="3"/>
  <c r="BK120" i="3"/>
  <c r="BJ120" i="3"/>
  <c r="BI120" i="3"/>
  <c r="BH120" i="3"/>
  <c r="BG120" i="3"/>
  <c r="BF120" i="3"/>
  <c r="BE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BR119" i="3"/>
  <c r="BQ119" i="3"/>
  <c r="BP119" i="3"/>
  <c r="BN119" i="3"/>
  <c r="BM119" i="3"/>
  <c r="BL119" i="3"/>
  <c r="BH119" i="3"/>
  <c r="BG119" i="3"/>
  <c r="BF119" i="3"/>
  <c r="BC119" i="3"/>
  <c r="BB119" i="3"/>
  <c r="BA119" i="3"/>
  <c r="AY119" i="3"/>
  <c r="AX119" i="3"/>
  <c r="AW119" i="3"/>
  <c r="AV119" i="3"/>
  <c r="AT119" i="3"/>
  <c r="AS119" i="3"/>
  <c r="AR119" i="3"/>
  <c r="AQ119" i="3"/>
  <c r="AO119" i="3"/>
  <c r="AN119" i="3"/>
  <c r="AM119" i="3"/>
  <c r="AL119" i="3"/>
  <c r="AJ119" i="3"/>
  <c r="AI119" i="3"/>
  <c r="AH119" i="3"/>
  <c r="AG119" i="3"/>
  <c r="AE119" i="3"/>
  <c r="AD119" i="3"/>
  <c r="AC119" i="3"/>
  <c r="AB119" i="3"/>
  <c r="Z119" i="3"/>
  <c r="Y119" i="3"/>
  <c r="X119" i="3"/>
  <c r="W119" i="3"/>
  <c r="U119" i="3"/>
  <c r="T119" i="3"/>
  <c r="S119" i="3"/>
  <c r="R119" i="3"/>
  <c r="P119" i="3"/>
  <c r="O119" i="3"/>
  <c r="N119" i="3"/>
  <c r="M119" i="3"/>
  <c r="K119" i="3"/>
  <c r="J119" i="3"/>
  <c r="I119" i="3"/>
  <c r="H119" i="3"/>
  <c r="F119" i="3"/>
  <c r="E119" i="3"/>
  <c r="D119" i="3"/>
  <c r="BS118" i="3"/>
  <c r="BS123" i="3" s="1"/>
  <c r="BI118" i="3"/>
  <c r="BK121" i="3" s="1"/>
  <c r="BD118" i="3"/>
  <c r="BD119" i="3" s="1"/>
  <c r="BS106" i="3"/>
  <c r="BN106" i="3"/>
  <c r="BJ106" i="3"/>
  <c r="BD106" i="3"/>
  <c r="AY106" i="3"/>
  <c r="AT106" i="3"/>
  <c r="BT103" i="3"/>
  <c r="BO103" i="3"/>
  <c r="BJ103" i="3"/>
  <c r="BE103" i="3"/>
  <c r="AZ103" i="3"/>
  <c r="AU103" i="3"/>
  <c r="AP103" i="3"/>
  <c r="AK103" i="3"/>
  <c r="AF103" i="3"/>
  <c r="AA103" i="3"/>
  <c r="V103" i="3"/>
  <c r="Q103" i="3"/>
  <c r="L103" i="3"/>
  <c r="G103" i="3"/>
  <c r="BS101" i="3"/>
  <c r="BI101" i="3"/>
  <c r="BD101" i="3"/>
  <c r="BN92" i="3"/>
  <c r="BT90" i="3"/>
  <c r="BO90" i="3"/>
  <c r="BJ90" i="3"/>
  <c r="BE90" i="3"/>
  <c r="AZ90" i="3"/>
  <c r="AU90" i="3"/>
  <c r="AP90" i="3"/>
  <c r="AK90" i="3"/>
  <c r="AF90" i="3"/>
  <c r="BS89" i="3"/>
  <c r="BI89" i="3"/>
  <c r="BD89" i="3"/>
  <c r="BS87" i="3"/>
  <c r="BN87" i="3"/>
  <c r="BI87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BS84" i="3"/>
  <c r="BR84" i="3"/>
  <c r="BQ84" i="3"/>
  <c r="BP84" i="3"/>
  <c r="BN84" i="3"/>
  <c r="BM84" i="3"/>
  <c r="BL84" i="3"/>
  <c r="BK84" i="3"/>
  <c r="BI84" i="3"/>
  <c r="BH84" i="3"/>
  <c r="BG84" i="3"/>
  <c r="BF84" i="3"/>
  <c r="BD84" i="3"/>
  <c r="BC84" i="3"/>
  <c r="BB84" i="3"/>
  <c r="BA84" i="3"/>
  <c r="AY84" i="3"/>
  <c r="AX84" i="3"/>
  <c r="AW84" i="3"/>
  <c r="AV84" i="3"/>
  <c r="AT84" i="3"/>
  <c r="AS84" i="3"/>
  <c r="AR84" i="3"/>
  <c r="AQ84" i="3"/>
  <c r="AO84" i="3"/>
  <c r="AN84" i="3"/>
  <c r="AM84" i="3"/>
  <c r="AL84" i="3"/>
  <c r="AJ84" i="3"/>
  <c r="AI84" i="3"/>
  <c r="AH84" i="3"/>
  <c r="AG84" i="3"/>
  <c r="AE84" i="3"/>
  <c r="AD84" i="3"/>
  <c r="AC84" i="3"/>
  <c r="AB84" i="3"/>
  <c r="Z84" i="3"/>
  <c r="Y84" i="3"/>
  <c r="X84" i="3"/>
  <c r="W84" i="3"/>
  <c r="U84" i="3"/>
  <c r="T84" i="3"/>
  <c r="S84" i="3"/>
  <c r="R84" i="3"/>
  <c r="P84" i="3"/>
  <c r="O84" i="3"/>
  <c r="N84" i="3"/>
  <c r="BT81" i="3"/>
  <c r="BR81" i="3"/>
  <c r="BQ81" i="3"/>
  <c r="BP81" i="3"/>
  <c r="BO81" i="3"/>
  <c r="BM81" i="3"/>
  <c r="BJ81" i="3"/>
  <c r="BI81" i="3"/>
  <c r="BH81" i="3"/>
  <c r="BG81" i="3"/>
  <c r="BE81" i="3"/>
  <c r="BC81" i="3"/>
  <c r="BB81" i="3"/>
  <c r="BA81" i="3"/>
  <c r="AZ81" i="3"/>
  <c r="AY81" i="3"/>
  <c r="AX81" i="3"/>
  <c r="AW81" i="3"/>
  <c r="AV81" i="3"/>
  <c r="AU81" i="3"/>
  <c r="AP81" i="3"/>
  <c r="BT80" i="3"/>
  <c r="BS80" i="3"/>
  <c r="BR80" i="3"/>
  <c r="BQ80" i="3"/>
  <c r="BO80" i="3"/>
  <c r="BM80" i="3"/>
  <c r="BL80" i="3"/>
  <c r="BJ80" i="3"/>
  <c r="BH80" i="3"/>
  <c r="BG80" i="3"/>
  <c r="BF80" i="3"/>
  <c r="BE80" i="3"/>
  <c r="BC80" i="3"/>
  <c r="BB80" i="3"/>
  <c r="BA80" i="3"/>
  <c r="AZ80" i="3"/>
  <c r="AY80" i="3"/>
  <c r="AU80" i="3"/>
  <c r="AT80" i="3"/>
  <c r="AP80" i="3"/>
  <c r="BS79" i="3"/>
  <c r="BR79" i="3"/>
  <c r="BQ79" i="3"/>
  <c r="BN79" i="3"/>
  <c r="BM79" i="3"/>
  <c r="BL79" i="3"/>
  <c r="BI79" i="3"/>
  <c r="BH79" i="3"/>
  <c r="BG79" i="3"/>
  <c r="BC79" i="3"/>
  <c r="BB79" i="3"/>
  <c r="BA79" i="3"/>
  <c r="AY79" i="3"/>
  <c r="AX79" i="3"/>
  <c r="AW79" i="3"/>
  <c r="AV79" i="3"/>
  <c r="BS78" i="3"/>
  <c r="BS81" i="3" s="1"/>
  <c r="BN78" i="3"/>
  <c r="BN81" i="3" s="1"/>
  <c r="BK78" i="3"/>
  <c r="BK79" i="3" s="1"/>
  <c r="BI78" i="3"/>
  <c r="BD78" i="3"/>
  <c r="BD80" i="3" s="1"/>
  <c r="BT76" i="3"/>
  <c r="BS76" i="3"/>
  <c r="BR76" i="3"/>
  <c r="BQ76" i="3"/>
  <c r="BO76" i="3"/>
  <c r="BM76" i="3"/>
  <c r="BL76" i="3"/>
  <c r="BK76" i="3"/>
  <c r="BJ76" i="3"/>
  <c r="BI76" i="3"/>
  <c r="BH76" i="3"/>
  <c r="BG76" i="3"/>
  <c r="BF76" i="3"/>
  <c r="BE76" i="3"/>
  <c r="BC76" i="3"/>
  <c r="BB76" i="3"/>
  <c r="BA76" i="3"/>
  <c r="AY76" i="3"/>
  <c r="AX76" i="3"/>
  <c r="AW76" i="3"/>
  <c r="AV76" i="3"/>
  <c r="BR75" i="3"/>
  <c r="BQ75" i="3"/>
  <c r="BP75" i="3"/>
  <c r="BM75" i="3"/>
  <c r="BL75" i="3"/>
  <c r="BK75" i="3"/>
  <c r="BI75" i="3"/>
  <c r="BH75" i="3"/>
  <c r="BG75" i="3"/>
  <c r="BF75" i="3"/>
  <c r="BD75" i="3"/>
  <c r="BC75" i="3"/>
  <c r="BB75" i="3"/>
  <c r="BA75" i="3"/>
  <c r="AY75" i="3"/>
  <c r="AT75" i="3"/>
  <c r="AO75" i="3"/>
  <c r="BR74" i="3"/>
  <c r="BQ74" i="3"/>
  <c r="BM74" i="3"/>
  <c r="BL74" i="3"/>
  <c r="BK74" i="3"/>
  <c r="BI74" i="3"/>
  <c r="BH74" i="3"/>
  <c r="BG74" i="3"/>
  <c r="BF74" i="3"/>
  <c r="BD74" i="3"/>
  <c r="BC74" i="3"/>
  <c r="BB74" i="3"/>
  <c r="BA74" i="3"/>
  <c r="AY74" i="3"/>
  <c r="AX74" i="3"/>
  <c r="AW74" i="3"/>
  <c r="AV74" i="3"/>
  <c r="BS73" i="3"/>
  <c r="BS74" i="3" s="1"/>
  <c r="BN73" i="3"/>
  <c r="BN76" i="3" s="1"/>
  <c r="BD73" i="3"/>
  <c r="BD76" i="3" s="1"/>
  <c r="AU73" i="3"/>
  <c r="AU76" i="3" s="1"/>
  <c r="AP73" i="3"/>
  <c r="AP75" i="3" s="1"/>
  <c r="AO73" i="3"/>
  <c r="AK73" i="3"/>
  <c r="AP76" i="3" s="1"/>
  <c r="BR71" i="3"/>
  <c r="BE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K71" i="3"/>
  <c r="AF71" i="3"/>
  <c r="AA71" i="3"/>
  <c r="V71" i="3"/>
  <c r="Q71" i="3"/>
  <c r="BE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T70" i="3"/>
  <c r="S70" i="3"/>
  <c r="R70" i="3"/>
  <c r="Q70" i="3"/>
  <c r="O70" i="3"/>
  <c r="N70" i="3"/>
  <c r="M70" i="3"/>
  <c r="L70" i="3"/>
  <c r="K70" i="3"/>
  <c r="J70" i="3"/>
  <c r="I70" i="3"/>
  <c r="H70" i="3"/>
  <c r="G70" i="3"/>
  <c r="BM69" i="3"/>
  <c r="BC69" i="3"/>
  <c r="BB69" i="3"/>
  <c r="BA69" i="3"/>
  <c r="AY69" i="3"/>
  <c r="AX69" i="3"/>
  <c r="AW69" i="3"/>
  <c r="AV69" i="3"/>
  <c r="AT69" i="3"/>
  <c r="AS69" i="3"/>
  <c r="AR69" i="3"/>
  <c r="AQ69" i="3"/>
  <c r="AO69" i="3"/>
  <c r="AN69" i="3"/>
  <c r="AM69" i="3"/>
  <c r="AL69" i="3"/>
  <c r="AJ69" i="3"/>
  <c r="AI69" i="3"/>
  <c r="AH69" i="3"/>
  <c r="AG69" i="3"/>
  <c r="AE69" i="3"/>
  <c r="AD69" i="3"/>
  <c r="AC69" i="3"/>
  <c r="AB69" i="3"/>
  <c r="Z69" i="3"/>
  <c r="Y69" i="3"/>
  <c r="X69" i="3"/>
  <c r="W69" i="3"/>
  <c r="U69" i="3"/>
  <c r="T69" i="3"/>
  <c r="S69" i="3"/>
  <c r="O69" i="3"/>
  <c r="N69" i="3"/>
  <c r="M69" i="3"/>
  <c r="J69" i="3"/>
  <c r="I69" i="3"/>
  <c r="H69" i="3"/>
  <c r="F69" i="3"/>
  <c r="E69" i="3"/>
  <c r="D69" i="3"/>
  <c r="BT68" i="3"/>
  <c r="BT70" i="3" s="1"/>
  <c r="BR68" i="3"/>
  <c r="BR69" i="3" s="1"/>
  <c r="BQ68" i="3"/>
  <c r="BP68" i="3"/>
  <c r="BQ71" i="3" s="1"/>
  <c r="BO68" i="3"/>
  <c r="BN68" i="3"/>
  <c r="BN70" i="3" s="1"/>
  <c r="BM68" i="3"/>
  <c r="BM70" i="3" s="1"/>
  <c r="BL68" i="3"/>
  <c r="BJ68" i="3"/>
  <c r="BI68" i="3" s="1"/>
  <c r="BH68" i="3"/>
  <c r="BH70" i="3" s="1"/>
  <c r="BG68" i="3"/>
  <c r="BG70" i="3" s="1"/>
  <c r="BF68" i="3"/>
  <c r="BF70" i="3" s="1"/>
  <c r="BE68" i="3"/>
  <c r="BD68" i="3"/>
  <c r="BD69" i="3" s="1"/>
  <c r="BC68" i="3"/>
  <c r="P68" i="3"/>
  <c r="R69" i="3" s="1"/>
  <c r="K68" i="3"/>
  <c r="K69" i="3" s="1"/>
  <c r="BT57" i="3"/>
  <c r="BO57" i="3"/>
  <c r="BJ57" i="3"/>
  <c r="BE57" i="3"/>
  <c r="AZ57" i="3"/>
  <c r="AU57" i="3"/>
  <c r="AP57" i="3"/>
  <c r="AK57" i="3"/>
  <c r="AF57" i="3"/>
  <c r="AA57" i="3"/>
  <c r="V57" i="3"/>
  <c r="Q57" i="3"/>
  <c r="L57" i="3"/>
  <c r="G57" i="3"/>
  <c r="BS56" i="3"/>
  <c r="BI56" i="3"/>
  <c r="BD56" i="3"/>
  <c r="BT54" i="3"/>
  <c r="BR54" i="3"/>
  <c r="BQ54" i="3"/>
  <c r="BP54" i="3"/>
  <c r="BO54" i="3"/>
  <c r="BM54" i="3"/>
  <c r="BL54" i="3"/>
  <c r="BK54" i="3"/>
  <c r="BJ54" i="3"/>
  <c r="BH54" i="3"/>
  <c r="BG54" i="3"/>
  <c r="BF54" i="3"/>
  <c r="BE54" i="3"/>
  <c r="BC54" i="3"/>
  <c r="BB54" i="3"/>
  <c r="BA54" i="3"/>
  <c r="AZ54" i="3"/>
  <c r="AY54" i="3"/>
  <c r="AX54" i="3"/>
  <c r="AW54" i="3"/>
  <c r="AV54" i="3"/>
  <c r="AU54" i="3"/>
  <c r="AS54" i="3"/>
  <c r="AR54" i="3"/>
  <c r="AQ54" i="3"/>
  <c r="AP54" i="3"/>
  <c r="AN54" i="3"/>
  <c r="AM54" i="3"/>
  <c r="AL54" i="3"/>
  <c r="AK54" i="3"/>
  <c r="AI54" i="3"/>
  <c r="AH54" i="3"/>
  <c r="AG54" i="3"/>
  <c r="AF54" i="3"/>
  <c r="AD54" i="3"/>
  <c r="AC54" i="3"/>
  <c r="AB54" i="3"/>
  <c r="AA54" i="3"/>
  <c r="Y54" i="3"/>
  <c r="X54" i="3"/>
  <c r="W54" i="3"/>
  <c r="V54" i="3"/>
  <c r="U54" i="3"/>
  <c r="T54" i="3"/>
  <c r="S54" i="3"/>
  <c r="R54" i="3"/>
  <c r="Q54" i="3"/>
  <c r="O54" i="3"/>
  <c r="N54" i="3"/>
  <c r="M54" i="3"/>
  <c r="L54" i="3"/>
  <c r="J54" i="3"/>
  <c r="I54" i="3"/>
  <c r="H54" i="3"/>
  <c r="G54" i="3"/>
  <c r="BR53" i="3"/>
  <c r="BQ53" i="3"/>
  <c r="BP53" i="3"/>
  <c r="BN53" i="3"/>
  <c r="BM53" i="3"/>
  <c r="BL53" i="3"/>
  <c r="BH53" i="3"/>
  <c r="BG53" i="3"/>
  <c r="BF53" i="3"/>
  <c r="BD53" i="3"/>
  <c r="BC53" i="3"/>
  <c r="BB53" i="3"/>
  <c r="BA53" i="3"/>
  <c r="AX53" i="3"/>
  <c r="AW53" i="3"/>
  <c r="AS53" i="3"/>
  <c r="AR53" i="3"/>
  <c r="AN53" i="3"/>
  <c r="AM53" i="3"/>
  <c r="AL53" i="3"/>
  <c r="AJ53" i="3"/>
  <c r="AI53" i="3"/>
  <c r="AH53" i="3"/>
  <c r="AD53" i="3"/>
  <c r="AC53" i="3"/>
  <c r="AB53" i="3"/>
  <c r="Z53" i="3"/>
  <c r="Y53" i="3"/>
  <c r="X53" i="3"/>
  <c r="W53" i="3"/>
  <c r="T53" i="3"/>
  <c r="S53" i="3"/>
  <c r="O53" i="3"/>
  <c r="N53" i="3"/>
  <c r="J53" i="3"/>
  <c r="I53" i="3"/>
  <c r="H53" i="3"/>
  <c r="F53" i="3"/>
  <c r="E53" i="3"/>
  <c r="D53" i="3"/>
  <c r="BS52" i="3"/>
  <c r="BS53" i="3" s="1"/>
  <c r="BN52" i="3"/>
  <c r="BI52" i="3"/>
  <c r="BI54" i="3" s="1"/>
  <c r="BD52" i="3"/>
  <c r="BD54" i="3" s="1"/>
  <c r="AY52" i="3"/>
  <c r="AY53" i="3" s="1"/>
  <c r="AT52" i="3"/>
  <c r="AV53" i="3" s="1"/>
  <c r="AO52" i="3"/>
  <c r="AQ53" i="3" s="1"/>
  <c r="AJ52" i="3"/>
  <c r="AE52" i="3"/>
  <c r="AE54" i="3" s="1"/>
  <c r="Z52" i="3"/>
  <c r="Z54" i="3" s="1"/>
  <c r="U52" i="3"/>
  <c r="U53" i="3" s="1"/>
  <c r="P52" i="3"/>
  <c r="R53" i="3" s="1"/>
  <c r="K52" i="3"/>
  <c r="M53" i="3" s="1"/>
  <c r="F52" i="3"/>
  <c r="BT50" i="3"/>
  <c r="BR50" i="3"/>
  <c r="BQ50" i="3"/>
  <c r="BP50" i="3"/>
  <c r="BO50" i="3"/>
  <c r="BN50" i="3"/>
  <c r="BM50" i="3"/>
  <c r="BL50" i="3"/>
  <c r="BK50" i="3"/>
  <c r="BJ50" i="3"/>
  <c r="BH50" i="3"/>
  <c r="BG50" i="3"/>
  <c r="BF50" i="3"/>
  <c r="BE50" i="3"/>
  <c r="BC50" i="3"/>
  <c r="BB50" i="3"/>
  <c r="BA50" i="3"/>
  <c r="AZ50" i="3"/>
  <c r="AX50" i="3"/>
  <c r="AW50" i="3"/>
  <c r="AV50" i="3"/>
  <c r="AU50" i="3"/>
  <c r="AS50" i="3"/>
  <c r="AR50" i="3"/>
  <c r="AQ50" i="3"/>
  <c r="AP50" i="3"/>
  <c r="AN50" i="3"/>
  <c r="AM50" i="3"/>
  <c r="AL50" i="3"/>
  <c r="AK50" i="3"/>
  <c r="AJ50" i="3"/>
  <c r="AI50" i="3"/>
  <c r="AH50" i="3"/>
  <c r="AG50" i="3"/>
  <c r="AF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BS49" i="3"/>
  <c r="BR49" i="3"/>
  <c r="BQ49" i="3"/>
  <c r="BP49" i="3"/>
  <c r="BN49" i="3"/>
  <c r="BM49" i="3"/>
  <c r="BL49" i="3"/>
  <c r="BH49" i="3"/>
  <c r="BG49" i="3"/>
  <c r="BD49" i="3"/>
  <c r="BC49" i="3"/>
  <c r="BB49" i="3"/>
  <c r="BA49" i="3"/>
  <c r="AY49" i="3"/>
  <c r="AX49" i="3"/>
  <c r="AW49" i="3"/>
  <c r="AS49" i="3"/>
  <c r="AR49" i="3"/>
  <c r="AO49" i="3"/>
  <c r="AN49" i="3"/>
  <c r="AM49" i="3"/>
  <c r="AL49" i="3"/>
  <c r="AJ49" i="3"/>
  <c r="AI49" i="3"/>
  <c r="AH49" i="3"/>
  <c r="AD49" i="3"/>
  <c r="AC49" i="3"/>
  <c r="AB49" i="3"/>
  <c r="Z49" i="3"/>
  <c r="Y49" i="3"/>
  <c r="X49" i="3"/>
  <c r="W49" i="3"/>
  <c r="U49" i="3"/>
  <c r="T49" i="3"/>
  <c r="S49" i="3"/>
  <c r="R49" i="3"/>
  <c r="P49" i="3"/>
  <c r="O49" i="3"/>
  <c r="N49" i="3"/>
  <c r="M49" i="3"/>
  <c r="K49" i="3"/>
  <c r="J49" i="3"/>
  <c r="I49" i="3"/>
  <c r="H49" i="3"/>
  <c r="F49" i="3"/>
  <c r="E49" i="3"/>
  <c r="D49" i="3"/>
  <c r="BS48" i="3"/>
  <c r="BS50" i="3" s="1"/>
  <c r="BN48" i="3"/>
  <c r="BI48" i="3"/>
  <c r="BK49" i="3" s="1"/>
  <c r="BD48" i="3"/>
  <c r="BD50" i="3" s="1"/>
  <c r="AY48" i="3"/>
  <c r="AT48" i="3"/>
  <c r="AV49" i="3" s="1"/>
  <c r="AO48" i="3"/>
  <c r="AO50" i="3" s="1"/>
  <c r="AJ48" i="3"/>
  <c r="AE48" i="3"/>
  <c r="AG49" i="3" s="1"/>
  <c r="BS46" i="3"/>
  <c r="BN46" i="3"/>
  <c r="AE46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BS44" i="3"/>
  <c r="BR44" i="3"/>
  <c r="BQ44" i="3"/>
  <c r="BP44" i="3"/>
  <c r="BN44" i="3"/>
  <c r="BM44" i="3"/>
  <c r="BL44" i="3"/>
  <c r="BK44" i="3"/>
  <c r="BI44" i="3"/>
  <c r="BH44" i="3"/>
  <c r="BG44" i="3"/>
  <c r="BF44" i="3"/>
  <c r="BD44" i="3"/>
  <c r="BC44" i="3"/>
  <c r="BB44" i="3"/>
  <c r="BA44" i="3"/>
  <c r="AY44" i="3"/>
  <c r="AX44" i="3"/>
  <c r="AW44" i="3"/>
  <c r="AV44" i="3"/>
  <c r="AT44" i="3"/>
  <c r="AS44" i="3"/>
  <c r="AR44" i="3"/>
  <c r="AQ44" i="3"/>
  <c r="AO44" i="3"/>
  <c r="AN44" i="3"/>
  <c r="AM44" i="3"/>
  <c r="AL44" i="3"/>
  <c r="AJ44" i="3"/>
  <c r="AI44" i="3"/>
  <c r="AH44" i="3"/>
  <c r="AG44" i="3"/>
  <c r="AE44" i="3"/>
  <c r="AD44" i="3"/>
  <c r="AC44" i="3"/>
  <c r="AB44" i="3"/>
  <c r="Z44" i="3"/>
  <c r="Y44" i="3"/>
  <c r="X44" i="3"/>
  <c r="W44" i="3"/>
  <c r="U44" i="3"/>
  <c r="T44" i="3"/>
  <c r="S44" i="3"/>
  <c r="R44" i="3"/>
  <c r="P44" i="3"/>
  <c r="O44" i="3"/>
  <c r="N44" i="3"/>
  <c r="M44" i="3"/>
  <c r="K44" i="3"/>
  <c r="J44" i="3"/>
  <c r="I44" i="3"/>
  <c r="H44" i="3"/>
  <c r="F44" i="3"/>
  <c r="E44" i="3"/>
  <c r="D44" i="3"/>
  <c r="BT42" i="3"/>
  <c r="BR42" i="3"/>
  <c r="BQ42" i="3"/>
  <c r="BO42" i="3"/>
  <c r="BM42" i="3"/>
  <c r="BL42" i="3"/>
  <c r="BJ42" i="3"/>
  <c r="BI42" i="3"/>
  <c r="BH42" i="3"/>
  <c r="BG42" i="3"/>
  <c r="BE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K42" i="3"/>
  <c r="AF42" i="3"/>
  <c r="AA42" i="3"/>
  <c r="V42" i="3"/>
  <c r="Q42" i="3"/>
  <c r="L42" i="3"/>
  <c r="G42" i="3"/>
  <c r="BT41" i="3"/>
  <c r="BR41" i="3"/>
  <c r="BQ41" i="3"/>
  <c r="BP41" i="3"/>
  <c r="BO41" i="3"/>
  <c r="BN41" i="3"/>
  <c r="BM41" i="3"/>
  <c r="BL41" i="3"/>
  <c r="BK41" i="3"/>
  <c r="BJ41" i="3"/>
  <c r="BH41" i="3"/>
  <c r="BG41" i="3"/>
  <c r="BF41" i="3"/>
  <c r="BE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Q41" i="3"/>
  <c r="P41" i="3"/>
  <c r="O41" i="3"/>
  <c r="N41" i="3"/>
  <c r="M41" i="3"/>
  <c r="L41" i="3"/>
  <c r="K41" i="3"/>
  <c r="J41" i="3"/>
  <c r="I41" i="3"/>
  <c r="H41" i="3"/>
  <c r="G41" i="3"/>
  <c r="BR40" i="3"/>
  <c r="BQ40" i="3"/>
  <c r="BP40" i="3"/>
  <c r="BN40" i="3"/>
  <c r="BM40" i="3"/>
  <c r="BL40" i="3"/>
  <c r="BK40" i="3"/>
  <c r="BH40" i="3"/>
  <c r="BG40" i="3"/>
  <c r="BC40" i="3"/>
  <c r="BB40" i="3"/>
  <c r="BA40" i="3"/>
  <c r="AY40" i="3"/>
  <c r="AX40" i="3"/>
  <c r="AW40" i="3"/>
  <c r="AV40" i="3"/>
  <c r="AT40" i="3"/>
  <c r="AS40" i="3"/>
  <c r="AR40" i="3"/>
  <c r="AQ40" i="3"/>
  <c r="AO40" i="3"/>
  <c r="AN40" i="3"/>
  <c r="AM40" i="3"/>
  <c r="AL40" i="3"/>
  <c r="AJ40" i="3"/>
  <c r="AI40" i="3"/>
  <c r="AH40" i="3"/>
  <c r="AG40" i="3"/>
  <c r="AE40" i="3"/>
  <c r="AD40" i="3"/>
  <c r="AC40" i="3"/>
  <c r="AB40" i="3"/>
  <c r="Z40" i="3"/>
  <c r="Y40" i="3"/>
  <c r="X40" i="3"/>
  <c r="W40" i="3"/>
  <c r="U40" i="3"/>
  <c r="T40" i="3"/>
  <c r="S40" i="3"/>
  <c r="R40" i="3"/>
  <c r="P40" i="3"/>
  <c r="O40" i="3"/>
  <c r="N40" i="3"/>
  <c r="M40" i="3"/>
  <c r="K40" i="3"/>
  <c r="J40" i="3"/>
  <c r="I40" i="3"/>
  <c r="H40" i="3"/>
  <c r="F40" i="3"/>
  <c r="E40" i="3"/>
  <c r="D40" i="3"/>
  <c r="BS39" i="3"/>
  <c r="BS41" i="3" s="1"/>
  <c r="BN39" i="3"/>
  <c r="BN42" i="3" s="1"/>
  <c r="BI39" i="3"/>
  <c r="BI40" i="3" s="1"/>
  <c r="BD39" i="3"/>
  <c r="BF42" i="3" s="1"/>
  <c r="BT37" i="3"/>
  <c r="BR37" i="3"/>
  <c r="BQ37" i="3"/>
  <c r="BP37" i="3"/>
  <c r="BN37" i="3"/>
  <c r="BM37" i="3"/>
  <c r="BL37" i="3"/>
  <c r="BK37" i="3"/>
  <c r="BI37" i="3"/>
  <c r="BH37" i="3"/>
  <c r="BG37" i="3"/>
  <c r="BS36" i="3"/>
  <c r="BS37" i="3" s="1"/>
  <c r="BN36" i="3"/>
  <c r="BT34" i="3"/>
  <c r="BR34" i="3"/>
  <c r="BQ34" i="3"/>
  <c r="BP34" i="3"/>
  <c r="BM34" i="3"/>
  <c r="BL34" i="3"/>
  <c r="BK34" i="3"/>
  <c r="BI34" i="3"/>
  <c r="BH34" i="3"/>
  <c r="BG34" i="3"/>
  <c r="BF34" i="3"/>
  <c r="BS33" i="3"/>
  <c r="BS34" i="3" s="1"/>
  <c r="BN33" i="3"/>
  <c r="BN34" i="3" s="1"/>
  <c r="BT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BR31" i="3"/>
  <c r="BQ31" i="3"/>
  <c r="BP31" i="3"/>
  <c r="BN31" i="3"/>
  <c r="BM31" i="3"/>
  <c r="BL31" i="3"/>
  <c r="BK31" i="3"/>
  <c r="BH31" i="3"/>
  <c r="BG31" i="3"/>
  <c r="BF31" i="3"/>
  <c r="BD31" i="3"/>
  <c r="BC31" i="3"/>
  <c r="BB31" i="3"/>
  <c r="BA31" i="3"/>
  <c r="AY31" i="3"/>
  <c r="AX31" i="3"/>
  <c r="AW31" i="3"/>
  <c r="AV31" i="3"/>
  <c r="AT31" i="3"/>
  <c r="AS31" i="3"/>
  <c r="AR31" i="3"/>
  <c r="AQ31" i="3"/>
  <c r="AO31" i="3"/>
  <c r="AN31" i="3"/>
  <c r="AM31" i="3"/>
  <c r="AL31" i="3"/>
  <c r="AJ31" i="3"/>
  <c r="AI31" i="3"/>
  <c r="AH31" i="3"/>
  <c r="AG31" i="3"/>
  <c r="AE31" i="3"/>
  <c r="AD31" i="3"/>
  <c r="AC31" i="3"/>
  <c r="AB31" i="3"/>
  <c r="Z31" i="3"/>
  <c r="Y31" i="3"/>
  <c r="X31" i="3"/>
  <c r="W31" i="3"/>
  <c r="U31" i="3"/>
  <c r="T31" i="3"/>
  <c r="S31" i="3"/>
  <c r="R31" i="3"/>
  <c r="P31" i="3"/>
  <c r="O31" i="3"/>
  <c r="N31" i="3"/>
  <c r="M31" i="3"/>
  <c r="K31" i="3"/>
  <c r="J31" i="3"/>
  <c r="I31" i="3"/>
  <c r="H31" i="3"/>
  <c r="F31" i="3"/>
  <c r="E31" i="3"/>
  <c r="D31" i="3"/>
  <c r="BS30" i="3"/>
  <c r="BS31" i="3" s="1"/>
  <c r="BI30" i="3"/>
  <c r="BI31" i="3" s="1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BS28" i="3"/>
  <c r="BR28" i="3"/>
  <c r="BQ28" i="3"/>
  <c r="BP28" i="3"/>
  <c r="BN28" i="3"/>
  <c r="BM28" i="3"/>
  <c r="BL28" i="3"/>
  <c r="BK28" i="3"/>
  <c r="BI28" i="3"/>
  <c r="BH28" i="3"/>
  <c r="BG28" i="3"/>
  <c r="BF28" i="3"/>
  <c r="BD28" i="3"/>
  <c r="BC28" i="3"/>
  <c r="BB28" i="3"/>
  <c r="BA28" i="3"/>
  <c r="AY28" i="3"/>
  <c r="AX28" i="3"/>
  <c r="AW28" i="3"/>
  <c r="AV28" i="3"/>
  <c r="AT28" i="3"/>
  <c r="AS28" i="3"/>
  <c r="AR28" i="3"/>
  <c r="AQ28" i="3"/>
  <c r="AO28" i="3"/>
  <c r="AN28" i="3"/>
  <c r="AM28" i="3"/>
  <c r="AL28" i="3"/>
  <c r="AJ28" i="3"/>
  <c r="AI28" i="3"/>
  <c r="AH28" i="3"/>
  <c r="AG28" i="3"/>
  <c r="AE28" i="3"/>
  <c r="AD28" i="3"/>
  <c r="AC28" i="3"/>
  <c r="AB28" i="3"/>
  <c r="Z28" i="3"/>
  <c r="Y28" i="3"/>
  <c r="X28" i="3"/>
  <c r="W28" i="3"/>
  <c r="U28" i="3"/>
  <c r="T28" i="3"/>
  <c r="S28" i="3"/>
  <c r="R28" i="3"/>
  <c r="P28" i="3"/>
  <c r="O28" i="3"/>
  <c r="N28" i="3"/>
  <c r="M28" i="3"/>
  <c r="K28" i="3"/>
  <c r="J28" i="3"/>
  <c r="I28" i="3"/>
  <c r="H28" i="3"/>
  <c r="F28" i="3"/>
  <c r="E28" i="3"/>
  <c r="D28" i="3"/>
  <c r="BQ25" i="3"/>
  <c r="BO25" i="3"/>
  <c r="BK25" i="3"/>
  <c r="BE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BT24" i="3"/>
  <c r="BQ24" i="3"/>
  <c r="BP24" i="3"/>
  <c r="BO24" i="3"/>
  <c r="BN24" i="3"/>
  <c r="BM24" i="3"/>
  <c r="BL24" i="3"/>
  <c r="BK24" i="3"/>
  <c r="BJ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O24" i="3"/>
  <c r="AN24" i="3"/>
  <c r="AM24" i="3"/>
  <c r="BT23" i="3"/>
  <c r="BS23" i="3"/>
  <c r="BQ23" i="3"/>
  <c r="BP23" i="3"/>
  <c r="BO23" i="3"/>
  <c r="BN23" i="3"/>
  <c r="BM23" i="3"/>
  <c r="BL23" i="3"/>
  <c r="BK23" i="3"/>
  <c r="BJ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S23" i="3"/>
  <c r="AR23" i="3"/>
  <c r="AQ23" i="3"/>
  <c r="BQ22" i="3"/>
  <c r="BN22" i="3"/>
  <c r="BM22" i="3"/>
  <c r="BL22" i="3"/>
  <c r="BK22" i="3"/>
  <c r="BI22" i="3"/>
  <c r="BH22" i="3"/>
  <c r="BG22" i="3"/>
  <c r="BF22" i="3"/>
  <c r="BD22" i="3"/>
  <c r="BC22" i="3"/>
  <c r="BB22" i="3"/>
  <c r="BA22" i="3"/>
  <c r="AY22" i="3"/>
  <c r="AX22" i="3"/>
  <c r="AW22" i="3"/>
  <c r="AV22" i="3"/>
  <c r="AT22" i="3"/>
  <c r="AS22" i="3"/>
  <c r="AR22" i="3"/>
  <c r="AQ22" i="3"/>
  <c r="AO22" i="3"/>
  <c r="AN22" i="3"/>
  <c r="AM22" i="3"/>
  <c r="BS21" i="3"/>
  <c r="BR21" i="3"/>
  <c r="BS24" i="3" s="1"/>
  <c r="BN21" i="3"/>
  <c r="BN25" i="3" s="1"/>
  <c r="BI21" i="3"/>
  <c r="BI23" i="3" s="1"/>
  <c r="BT19" i="3"/>
  <c r="BQ19" i="3"/>
  <c r="BP19" i="3"/>
  <c r="BO19" i="3"/>
  <c r="BN19" i="3"/>
  <c r="BM19" i="3"/>
  <c r="BL19" i="3"/>
  <c r="BK19" i="3"/>
  <c r="BI19" i="3"/>
  <c r="BH19" i="3"/>
  <c r="BG19" i="3"/>
  <c r="BF19" i="3"/>
  <c r="BD19" i="3"/>
  <c r="BC19" i="3"/>
  <c r="BB19" i="3"/>
  <c r="BA19" i="3"/>
  <c r="AY19" i="3"/>
  <c r="AX19" i="3"/>
  <c r="AK19" i="3"/>
  <c r="AF19" i="3"/>
  <c r="AA19" i="3"/>
  <c r="V19" i="3"/>
  <c r="Q19" i="3"/>
  <c r="L19" i="3"/>
  <c r="G19" i="3"/>
  <c r="BT18" i="3"/>
  <c r="BQ18" i="3"/>
  <c r="BP18" i="3"/>
  <c r="BO18" i="3"/>
  <c r="BN18" i="3"/>
  <c r="BM18" i="3"/>
  <c r="BL18" i="3"/>
  <c r="BK18" i="3"/>
  <c r="BI18" i="3"/>
  <c r="BH18" i="3"/>
  <c r="BG18" i="3"/>
  <c r="BF18" i="3"/>
  <c r="BD18" i="3"/>
  <c r="BC18" i="3"/>
  <c r="BB18" i="3"/>
  <c r="AN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BR17" i="3"/>
  <c r="BQ17" i="3"/>
  <c r="BN17" i="3"/>
  <c r="BM17" i="3"/>
  <c r="BL17" i="3"/>
  <c r="BK17" i="3"/>
  <c r="BI17" i="3"/>
  <c r="BH17" i="3"/>
  <c r="BG17" i="3"/>
  <c r="BF17" i="3"/>
  <c r="BD17" i="3"/>
  <c r="BC17" i="3"/>
  <c r="BB17" i="3"/>
  <c r="AY17" i="3"/>
  <c r="AX17" i="3"/>
  <c r="AR17" i="3"/>
  <c r="AJ17" i="3"/>
  <c r="AI17" i="3"/>
  <c r="AH17" i="3"/>
  <c r="AG17" i="3"/>
  <c r="AE17" i="3"/>
  <c r="AD17" i="3"/>
  <c r="AC17" i="3"/>
  <c r="AB17" i="3"/>
  <c r="Z17" i="3"/>
  <c r="Y17" i="3"/>
  <c r="X17" i="3"/>
  <c r="W17" i="3"/>
  <c r="U17" i="3"/>
  <c r="T17" i="3"/>
  <c r="S17" i="3"/>
  <c r="R17" i="3"/>
  <c r="P17" i="3"/>
  <c r="O17" i="3"/>
  <c r="N17" i="3"/>
  <c r="M17" i="3"/>
  <c r="K17" i="3"/>
  <c r="J17" i="3"/>
  <c r="I17" i="3"/>
  <c r="H17" i="3"/>
  <c r="F17" i="3"/>
  <c r="E17" i="3"/>
  <c r="D17" i="3"/>
  <c r="BS16" i="3"/>
  <c r="BS17" i="3" s="1"/>
  <c r="BR16" i="3"/>
  <c r="BR18" i="3" s="1"/>
  <c r="BN16" i="3"/>
  <c r="BP17" i="3" s="1"/>
  <c r="BE16" i="3"/>
  <c r="BJ19" i="3" s="1"/>
  <c r="AZ16" i="3"/>
  <c r="AZ19" i="3" s="1"/>
  <c r="AY16" i="3"/>
  <c r="AY18" i="3" s="1"/>
  <c r="AV16" i="3"/>
  <c r="AW19" i="3" s="1"/>
  <c r="AU16" i="3"/>
  <c r="AU18" i="3" s="1"/>
  <c r="AT16" i="3"/>
  <c r="AT19" i="3" s="1"/>
  <c r="AS16" i="3"/>
  <c r="AS19" i="3" s="1"/>
  <c r="AR16" i="3"/>
  <c r="AR19" i="3" s="1"/>
  <c r="AQ16" i="3"/>
  <c r="AP16" i="3"/>
  <c r="AP18" i="3" s="1"/>
  <c r="AO16" i="3"/>
  <c r="AO17" i="3" s="1"/>
  <c r="AN16" i="3"/>
  <c r="AN19" i="3" s="1"/>
  <c r="AM16" i="3"/>
  <c r="AR18" i="3" s="1"/>
  <c r="BE14" i="3"/>
  <c r="BA14" i="3"/>
  <c r="AZ14" i="3"/>
  <c r="AY14" i="3"/>
  <c r="AX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BM12" i="3"/>
  <c r="BF12" i="3"/>
  <c r="BB12" i="3"/>
  <c r="BA12" i="3"/>
  <c r="AY12" i="3"/>
  <c r="AX12" i="3"/>
  <c r="AV12" i="3"/>
  <c r="AT12" i="3"/>
  <c r="AS12" i="3"/>
  <c r="AR12" i="3"/>
  <c r="AQ12" i="3"/>
  <c r="AO12" i="3"/>
  <c r="AN12" i="3"/>
  <c r="AM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T25" i="3" s="1"/>
  <c r="BS11" i="3"/>
  <c r="BQ11" i="3"/>
  <c r="BQ14" i="3" s="1"/>
  <c r="BP11" i="3"/>
  <c r="BQ12" i="3" s="1"/>
  <c r="BO11" i="3"/>
  <c r="BO14" i="3" s="1"/>
  <c r="BN11" i="3"/>
  <c r="BM11" i="3"/>
  <c r="BM25" i="3" s="1"/>
  <c r="BL11" i="3"/>
  <c r="BL12" i="3" s="1"/>
  <c r="BK11" i="3"/>
  <c r="BJ11" i="3"/>
  <c r="BI11" i="3" s="1"/>
  <c r="BH11" i="3"/>
  <c r="BH25" i="3" s="1"/>
  <c r="BG11" i="3"/>
  <c r="BG25" i="3" s="1"/>
  <c r="BF11" i="3"/>
  <c r="BF25" i="3" s="1"/>
  <c r="BD11" i="3"/>
  <c r="BD25" i="3" s="1"/>
  <c r="BC11" i="3"/>
  <c r="BC14" i="3" s="1"/>
  <c r="BB11" i="3"/>
  <c r="BB25" i="3" s="1"/>
  <c r="BA11" i="3"/>
  <c r="BA25" i="3" s="1"/>
  <c r="AW11" i="3"/>
  <c r="AW14" i="3" s="1"/>
  <c r="AL11" i="3"/>
  <c r="AL16" i="3" s="1"/>
  <c r="E59" i="14"/>
  <c r="D59" i="14"/>
  <c r="C59" i="14"/>
  <c r="B59" i="14"/>
  <c r="F58" i="14"/>
  <c r="E58" i="14"/>
  <c r="D58" i="14"/>
  <c r="C58" i="14"/>
  <c r="B58" i="14"/>
  <c r="E57" i="14"/>
  <c r="D57" i="14"/>
  <c r="C57" i="14"/>
  <c r="B57" i="14"/>
  <c r="E54" i="14"/>
  <c r="F53" i="14"/>
  <c r="F54" i="14" s="1"/>
  <c r="E53" i="14"/>
  <c r="D53" i="14"/>
  <c r="C53" i="14"/>
  <c r="B53" i="14"/>
  <c r="E49" i="14"/>
  <c r="D49" i="14"/>
  <c r="F48" i="14"/>
  <c r="F49" i="14" s="1"/>
  <c r="E48" i="14"/>
  <c r="D48" i="14"/>
  <c r="C48" i="14"/>
  <c r="B48" i="14"/>
  <c r="E46" i="14"/>
  <c r="D46" i="14"/>
  <c r="F45" i="14"/>
  <c r="F59" i="14" s="1"/>
  <c r="E45" i="14"/>
  <c r="C45" i="14"/>
  <c r="B45" i="14"/>
  <c r="E43" i="14"/>
  <c r="D43" i="14"/>
  <c r="F42" i="14"/>
  <c r="F43" i="14" s="1"/>
  <c r="B39" i="14"/>
  <c r="E37" i="14"/>
  <c r="D37" i="14"/>
  <c r="F36" i="14"/>
  <c r="F37" i="14" s="1"/>
  <c r="E36" i="14"/>
  <c r="D36" i="14"/>
  <c r="C36" i="14"/>
  <c r="B36" i="14"/>
  <c r="E34" i="14"/>
  <c r="F33" i="14"/>
  <c r="F34" i="14" s="1"/>
  <c r="D31" i="14"/>
  <c r="F30" i="14"/>
  <c r="E28" i="14"/>
  <c r="D28" i="14"/>
  <c r="F27" i="14"/>
  <c r="F28" i="14" s="1"/>
  <c r="F19" i="14"/>
  <c r="E19" i="14"/>
  <c r="D19" i="14"/>
  <c r="F18" i="14"/>
  <c r="E16" i="14"/>
  <c r="D16" i="14"/>
  <c r="F15" i="14"/>
  <c r="F16" i="14" s="1"/>
  <c r="E13" i="14"/>
  <c r="D13" i="14"/>
  <c r="F12" i="14"/>
  <c r="F13" i="14" s="1"/>
  <c r="F10" i="14"/>
  <c r="E10" i="14"/>
  <c r="D10" i="14"/>
  <c r="F9" i="14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P68" i="13"/>
  <c r="N68" i="13"/>
  <c r="M68" i="13"/>
  <c r="L68" i="13"/>
  <c r="K68" i="13"/>
  <c r="J68" i="13"/>
  <c r="I68" i="13"/>
  <c r="H68" i="13"/>
  <c r="G68" i="13"/>
  <c r="N67" i="13"/>
  <c r="M67" i="13"/>
  <c r="L67" i="13"/>
  <c r="J67" i="13"/>
  <c r="I67" i="13"/>
  <c r="H67" i="13"/>
  <c r="G67" i="13"/>
  <c r="E67" i="13"/>
  <c r="D67" i="13"/>
  <c r="C67" i="13"/>
  <c r="P66" i="13"/>
  <c r="P67" i="13" s="1"/>
  <c r="O66" i="13"/>
  <c r="N66" i="13"/>
  <c r="M66" i="13"/>
  <c r="L66" i="13"/>
  <c r="J66" i="13"/>
  <c r="H66" i="13"/>
  <c r="G66" i="13"/>
  <c r="F66" i="13"/>
  <c r="E66" i="13"/>
  <c r="D66" i="13"/>
  <c r="C66" i="13"/>
  <c r="B66" i="13"/>
  <c r="P64" i="13"/>
  <c r="O64" i="13"/>
  <c r="J64" i="13"/>
  <c r="P63" i="13"/>
  <c r="N63" i="13"/>
  <c r="M63" i="13"/>
  <c r="L63" i="13"/>
  <c r="K63" i="13"/>
  <c r="J63" i="13"/>
  <c r="I63" i="13"/>
  <c r="H63" i="13"/>
  <c r="G63" i="13"/>
  <c r="N62" i="13"/>
  <c r="M62" i="13"/>
  <c r="L62" i="13"/>
  <c r="J62" i="13"/>
  <c r="I62" i="13"/>
  <c r="H62" i="13"/>
  <c r="G62" i="13"/>
  <c r="E62" i="13"/>
  <c r="D62" i="13"/>
  <c r="C62" i="13"/>
  <c r="P61" i="13"/>
  <c r="P62" i="13" s="1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N60" i="13"/>
  <c r="M60" i="13"/>
  <c r="L60" i="13"/>
  <c r="K60" i="13"/>
  <c r="J60" i="13"/>
  <c r="I60" i="13"/>
  <c r="H60" i="13"/>
  <c r="G60" i="13"/>
  <c r="P59" i="13"/>
  <c r="N59" i="13"/>
  <c r="M59" i="13"/>
  <c r="L59" i="13"/>
  <c r="J59" i="13"/>
  <c r="I59" i="13"/>
  <c r="H59" i="13"/>
  <c r="G59" i="13"/>
  <c r="E59" i="13"/>
  <c r="D59" i="13"/>
  <c r="C59" i="13"/>
  <c r="P58" i="13"/>
  <c r="P60" i="13" s="1"/>
  <c r="O58" i="13"/>
  <c r="N58" i="13"/>
  <c r="M58" i="13"/>
  <c r="L58" i="13"/>
  <c r="J58" i="13"/>
  <c r="H58" i="13"/>
  <c r="G58" i="13"/>
  <c r="F58" i="13"/>
  <c r="E58" i="13"/>
  <c r="D58" i="13"/>
  <c r="C58" i="13"/>
  <c r="B58" i="13"/>
  <c r="P57" i="13"/>
  <c r="N57" i="13"/>
  <c r="M57" i="13"/>
  <c r="L57" i="13"/>
  <c r="K57" i="13"/>
  <c r="J57" i="13"/>
  <c r="I57" i="13"/>
  <c r="H57" i="13"/>
  <c r="G57" i="13"/>
  <c r="N56" i="13"/>
  <c r="M56" i="13"/>
  <c r="L56" i="13"/>
  <c r="J56" i="13"/>
  <c r="I56" i="13"/>
  <c r="H56" i="13"/>
  <c r="G56" i="13"/>
  <c r="E56" i="13"/>
  <c r="D56" i="13"/>
  <c r="C56" i="13"/>
  <c r="P55" i="13"/>
  <c r="P56" i="13" s="1"/>
  <c r="O55" i="13"/>
  <c r="J55" i="13"/>
  <c r="E55" i="13"/>
  <c r="P53" i="13"/>
  <c r="N53" i="13"/>
  <c r="M53" i="13"/>
  <c r="L53" i="13"/>
  <c r="K53" i="13"/>
  <c r="J53" i="13"/>
  <c r="I53" i="13"/>
  <c r="H53" i="13"/>
  <c r="G53" i="13"/>
  <c r="N52" i="13"/>
  <c r="M52" i="13"/>
  <c r="L52" i="13"/>
  <c r="J52" i="13"/>
  <c r="I52" i="13"/>
  <c r="H52" i="13"/>
  <c r="G52" i="13"/>
  <c r="E52" i="13"/>
  <c r="D52" i="13"/>
  <c r="C52" i="13"/>
  <c r="P51" i="13"/>
  <c r="P52" i="13" s="1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N50" i="13"/>
  <c r="M50" i="13"/>
  <c r="L50" i="13"/>
  <c r="K50" i="13"/>
  <c r="J50" i="13"/>
  <c r="I50" i="13"/>
  <c r="H50" i="13"/>
  <c r="G50" i="13"/>
  <c r="N49" i="13"/>
  <c r="M49" i="13"/>
  <c r="L49" i="13"/>
  <c r="J49" i="13"/>
  <c r="I49" i="13"/>
  <c r="H49" i="13"/>
  <c r="G49" i="13"/>
  <c r="E49" i="13"/>
  <c r="D49" i="13"/>
  <c r="C49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N47" i="13"/>
  <c r="M47" i="13"/>
  <c r="L47" i="13"/>
  <c r="K47" i="13"/>
  <c r="N46" i="13"/>
  <c r="M46" i="13"/>
  <c r="L46" i="13"/>
  <c r="J46" i="13"/>
  <c r="I46" i="13"/>
  <c r="H46" i="13"/>
  <c r="E46" i="13"/>
  <c r="D46" i="13"/>
  <c r="C46" i="13"/>
  <c r="P45" i="13"/>
  <c r="P47" i="13" s="1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M44" i="13"/>
  <c r="L44" i="13"/>
  <c r="K44" i="13"/>
  <c r="J44" i="13"/>
  <c r="I44" i="13"/>
  <c r="H44" i="13"/>
  <c r="G44" i="13"/>
  <c r="M43" i="13"/>
  <c r="L43" i="13"/>
  <c r="J43" i="13"/>
  <c r="I43" i="13"/>
  <c r="H43" i="13"/>
  <c r="G43" i="13"/>
  <c r="E43" i="13"/>
  <c r="D43" i="13"/>
  <c r="C43" i="13"/>
  <c r="P42" i="13"/>
  <c r="P70" i="13" s="1"/>
  <c r="O42" i="13"/>
  <c r="J42" i="13"/>
  <c r="E42" i="13"/>
  <c r="M41" i="13"/>
  <c r="L41" i="13"/>
  <c r="K41" i="13"/>
  <c r="J41" i="13"/>
  <c r="I41" i="13"/>
  <c r="H41" i="13"/>
  <c r="G41" i="13"/>
  <c r="M40" i="13"/>
  <c r="L40" i="13"/>
  <c r="J40" i="13"/>
  <c r="I40" i="13"/>
  <c r="H40" i="13"/>
  <c r="G40" i="13"/>
  <c r="E40" i="13"/>
  <c r="D40" i="13"/>
  <c r="C40" i="13"/>
  <c r="P39" i="13"/>
  <c r="P40" i="13" s="1"/>
  <c r="O39" i="13"/>
  <c r="N39" i="13"/>
  <c r="M39" i="13"/>
  <c r="L39" i="13"/>
  <c r="K39" i="13"/>
  <c r="J39" i="13"/>
  <c r="E39" i="13"/>
  <c r="P37" i="13"/>
  <c r="O37" i="13"/>
  <c r="N37" i="13"/>
  <c r="M37" i="13"/>
  <c r="L37" i="13"/>
  <c r="K37" i="13"/>
  <c r="F37" i="13"/>
  <c r="P35" i="13"/>
  <c r="O35" i="13"/>
  <c r="J35" i="13"/>
  <c r="N34" i="13"/>
  <c r="M34" i="13"/>
  <c r="L34" i="13"/>
  <c r="K34" i="13"/>
  <c r="J34" i="13"/>
  <c r="I34" i="13"/>
  <c r="H34" i="13"/>
  <c r="G34" i="13"/>
  <c r="P33" i="13"/>
  <c r="N33" i="13"/>
  <c r="M33" i="13"/>
  <c r="L33" i="13"/>
  <c r="J33" i="13"/>
  <c r="I33" i="13"/>
  <c r="H33" i="13"/>
  <c r="G33" i="13"/>
  <c r="E33" i="13"/>
  <c r="D33" i="13"/>
  <c r="C33" i="13"/>
  <c r="P32" i="13"/>
  <c r="P34" i="13" s="1"/>
  <c r="O32" i="13"/>
  <c r="J32" i="13"/>
  <c r="I32" i="13"/>
  <c r="H32" i="13"/>
  <c r="G32" i="13"/>
  <c r="E32" i="13"/>
  <c r="P31" i="13"/>
  <c r="N31" i="13"/>
  <c r="M31" i="13"/>
  <c r="L31" i="13"/>
  <c r="K31" i="13"/>
  <c r="J31" i="13"/>
  <c r="I31" i="13"/>
  <c r="H31" i="13"/>
  <c r="G31" i="13"/>
  <c r="P30" i="13"/>
  <c r="N30" i="13"/>
  <c r="M30" i="13"/>
  <c r="L30" i="13"/>
  <c r="J30" i="13"/>
  <c r="I30" i="13"/>
  <c r="H30" i="13"/>
  <c r="G30" i="13"/>
  <c r="E30" i="13"/>
  <c r="D30" i="13"/>
  <c r="C30" i="13"/>
  <c r="P29" i="13"/>
  <c r="O29" i="13"/>
  <c r="J29" i="13"/>
  <c r="E29" i="13"/>
  <c r="P28" i="13"/>
  <c r="N28" i="13"/>
  <c r="M28" i="13"/>
  <c r="L28" i="13"/>
  <c r="K28" i="13"/>
  <c r="J28" i="13"/>
  <c r="I28" i="13"/>
  <c r="H28" i="13"/>
  <c r="G28" i="13"/>
  <c r="P27" i="13"/>
  <c r="N27" i="13"/>
  <c r="M27" i="13"/>
  <c r="L27" i="13"/>
  <c r="J27" i="13"/>
  <c r="I27" i="13"/>
  <c r="H27" i="13"/>
  <c r="G27" i="13"/>
  <c r="E27" i="13"/>
  <c r="D27" i="13"/>
  <c r="C27" i="13"/>
  <c r="P26" i="13"/>
  <c r="O26" i="13"/>
  <c r="J26" i="13"/>
  <c r="H26" i="13"/>
  <c r="G26" i="13"/>
  <c r="F26" i="13"/>
  <c r="E26" i="13"/>
  <c r="D26" i="13"/>
  <c r="C26" i="13"/>
  <c r="B26" i="13"/>
  <c r="K24" i="13"/>
  <c r="F24" i="13"/>
  <c r="K22" i="13"/>
  <c r="F22" i="13"/>
  <c r="P10" i="13"/>
  <c r="N10" i="13"/>
  <c r="M10" i="13"/>
  <c r="L10" i="13"/>
  <c r="K10" i="13"/>
  <c r="J10" i="13"/>
  <c r="I10" i="13"/>
  <c r="H10" i="13"/>
  <c r="G10" i="13"/>
  <c r="N9" i="13"/>
  <c r="M9" i="13"/>
  <c r="L9" i="13"/>
  <c r="J9" i="13"/>
  <c r="I9" i="13"/>
  <c r="H9" i="13"/>
  <c r="G9" i="13"/>
  <c r="E9" i="13"/>
  <c r="D9" i="13"/>
  <c r="C9" i="13"/>
  <c r="P8" i="13"/>
  <c r="P72" i="13" s="1"/>
  <c r="O8" i="13"/>
  <c r="J8" i="13"/>
  <c r="E8" i="13"/>
  <c r="E67" i="12"/>
  <c r="D67" i="12"/>
  <c r="C67" i="12"/>
  <c r="B67" i="12"/>
  <c r="E66" i="12"/>
  <c r="D66" i="12"/>
  <c r="C66" i="12"/>
  <c r="B66" i="12"/>
  <c r="E65" i="12"/>
  <c r="D65" i="12"/>
  <c r="C65" i="12"/>
  <c r="B65" i="12"/>
  <c r="F62" i="12"/>
  <c r="E62" i="12"/>
  <c r="D62" i="12"/>
  <c r="F61" i="12"/>
  <c r="E61" i="12"/>
  <c r="D61" i="12"/>
  <c r="C61" i="12"/>
  <c r="B61" i="12"/>
  <c r="E57" i="12"/>
  <c r="D57" i="12"/>
  <c r="F56" i="12"/>
  <c r="F57" i="12" s="1"/>
  <c r="E56" i="12"/>
  <c r="D56" i="12"/>
  <c r="C56" i="12"/>
  <c r="B56" i="12"/>
  <c r="E54" i="12"/>
  <c r="D54" i="12"/>
  <c r="F53" i="12"/>
  <c r="F67" i="12" s="1"/>
  <c r="D53" i="12"/>
  <c r="B53" i="12"/>
  <c r="E51" i="12"/>
  <c r="D51" i="12"/>
  <c r="F50" i="12"/>
  <c r="F51" i="12" s="1"/>
  <c r="F48" i="12"/>
  <c r="E48" i="12"/>
  <c r="D48" i="12"/>
  <c r="C48" i="12"/>
  <c r="B48" i="12"/>
  <c r="E46" i="12"/>
  <c r="D46" i="12"/>
  <c r="F45" i="12"/>
  <c r="F46" i="12" s="1"/>
  <c r="E45" i="12"/>
  <c r="D45" i="12"/>
  <c r="C45" i="12"/>
  <c r="B45" i="12"/>
  <c r="F42" i="12"/>
  <c r="E42" i="12"/>
  <c r="D42" i="12"/>
  <c r="C42" i="12"/>
  <c r="B42" i="12"/>
  <c r="E40" i="12"/>
  <c r="D40" i="12"/>
  <c r="F39" i="12"/>
  <c r="F65" i="12" s="1"/>
  <c r="F37" i="12"/>
  <c r="E37" i="12"/>
  <c r="D37" i="12"/>
  <c r="F36" i="12"/>
  <c r="E30" i="12"/>
  <c r="D30" i="12"/>
  <c r="F29" i="12"/>
  <c r="F30" i="12" s="1"/>
  <c r="E27" i="12"/>
  <c r="D27" i="12"/>
  <c r="F26" i="12"/>
  <c r="F27" i="12" s="1"/>
  <c r="F24" i="12"/>
  <c r="E24" i="12"/>
  <c r="D24" i="12"/>
  <c r="F23" i="12"/>
  <c r="B23" i="12"/>
  <c r="B21" i="12"/>
  <c r="B19" i="12"/>
  <c r="E15" i="12"/>
  <c r="D15" i="12"/>
  <c r="F14" i="12"/>
  <c r="F15" i="12" s="1"/>
  <c r="E12" i="12"/>
  <c r="D12" i="12"/>
  <c r="F11" i="12"/>
  <c r="F12" i="12" s="1"/>
  <c r="E9" i="12"/>
  <c r="D9" i="12"/>
  <c r="F8" i="12"/>
  <c r="F9" i="12" s="1"/>
  <c r="E8" i="12"/>
  <c r="D8" i="12"/>
  <c r="C8" i="12"/>
  <c r="B8" i="12"/>
  <c r="C124" i="11"/>
  <c r="F123" i="11"/>
  <c r="E123" i="11"/>
  <c r="D123" i="11"/>
  <c r="F122" i="11"/>
  <c r="E122" i="11"/>
  <c r="D122" i="11"/>
  <c r="C122" i="11"/>
  <c r="B122" i="11"/>
  <c r="F120" i="11"/>
  <c r="E120" i="11"/>
  <c r="D120" i="11"/>
  <c r="C120" i="11"/>
  <c r="B120" i="11"/>
  <c r="F119" i="11"/>
  <c r="E119" i="11"/>
  <c r="D119" i="11"/>
  <c r="C119" i="11"/>
  <c r="B119" i="11"/>
  <c r="F116" i="11"/>
  <c r="E116" i="11"/>
  <c r="D116" i="11"/>
  <c r="C116" i="11"/>
  <c r="B116" i="11"/>
  <c r="F115" i="11"/>
  <c r="E115" i="11"/>
  <c r="D115" i="11"/>
  <c r="C115" i="11"/>
  <c r="B115" i="11"/>
  <c r="F114" i="11"/>
  <c r="E114" i="11"/>
  <c r="D114" i="11"/>
  <c r="C114" i="11"/>
  <c r="B114" i="11"/>
  <c r="F113" i="11"/>
  <c r="E113" i="11"/>
  <c r="D113" i="11"/>
  <c r="C113" i="11"/>
  <c r="B113" i="11"/>
  <c r="E102" i="11"/>
  <c r="D102" i="11"/>
  <c r="F101" i="11"/>
  <c r="F102" i="11" s="1"/>
  <c r="E99" i="11"/>
  <c r="D99" i="11"/>
  <c r="F98" i="11"/>
  <c r="F99" i="11" s="1"/>
  <c r="F96" i="11"/>
  <c r="E96" i="11"/>
  <c r="D96" i="11"/>
  <c r="F95" i="11"/>
  <c r="E93" i="11"/>
  <c r="D93" i="11"/>
  <c r="F92" i="11"/>
  <c r="F93" i="11" s="1"/>
  <c r="E90" i="11"/>
  <c r="D90" i="11"/>
  <c r="F89" i="11"/>
  <c r="F90" i="11" s="1"/>
  <c r="F87" i="11"/>
  <c r="E87" i="11"/>
  <c r="D87" i="11"/>
  <c r="F86" i="11"/>
  <c r="E84" i="11"/>
  <c r="D84" i="11"/>
  <c r="F83" i="11"/>
  <c r="F84" i="11" s="1"/>
  <c r="E83" i="11"/>
  <c r="D83" i="11"/>
  <c r="C83" i="11"/>
  <c r="B83" i="11"/>
  <c r="F79" i="11"/>
  <c r="E79" i="11"/>
  <c r="D79" i="11"/>
  <c r="C79" i="11"/>
  <c r="B79" i="11"/>
  <c r="E78" i="11"/>
  <c r="D78" i="11"/>
  <c r="C78" i="11"/>
  <c r="B78" i="11"/>
  <c r="E77" i="11"/>
  <c r="D77" i="11"/>
  <c r="C77" i="11"/>
  <c r="B77" i="11"/>
  <c r="E74" i="11"/>
  <c r="D74" i="11"/>
  <c r="F73" i="11"/>
  <c r="F74" i="11" s="1"/>
  <c r="E73" i="11"/>
  <c r="D73" i="11"/>
  <c r="C73" i="11"/>
  <c r="B73" i="11"/>
  <c r="E69" i="11"/>
  <c r="D69" i="11"/>
  <c r="F68" i="11"/>
  <c r="F69" i="11" s="1"/>
  <c r="E68" i="11"/>
  <c r="D68" i="11"/>
  <c r="C68" i="11"/>
  <c r="B68" i="11"/>
  <c r="F66" i="11"/>
  <c r="F64" i="11"/>
  <c r="E64" i="11"/>
  <c r="D64" i="11"/>
  <c r="F63" i="11"/>
  <c r="E63" i="11"/>
  <c r="D63" i="11"/>
  <c r="C63" i="11"/>
  <c r="B63" i="11"/>
  <c r="E61" i="11"/>
  <c r="D61" i="11"/>
  <c r="F60" i="11"/>
  <c r="F61" i="11" s="1"/>
  <c r="F57" i="11"/>
  <c r="E57" i="11"/>
  <c r="D57" i="11"/>
  <c r="F56" i="11"/>
  <c r="E56" i="11"/>
  <c r="D56" i="11"/>
  <c r="C56" i="11"/>
  <c r="B56" i="11"/>
  <c r="E54" i="11"/>
  <c r="D54" i="11"/>
  <c r="F53" i="11"/>
  <c r="F54" i="11" s="1"/>
  <c r="E53" i="11"/>
  <c r="D53" i="11"/>
  <c r="C53" i="11"/>
  <c r="B53" i="11"/>
  <c r="F51" i="11"/>
  <c r="E51" i="11"/>
  <c r="D51" i="11"/>
  <c r="C51" i="11"/>
  <c r="B51" i="11"/>
  <c r="E49" i="11"/>
  <c r="D49" i="11"/>
  <c r="F48" i="11"/>
  <c r="F77" i="11" s="1"/>
  <c r="E48" i="11"/>
  <c r="D48" i="11"/>
  <c r="B48" i="11"/>
  <c r="F46" i="11"/>
  <c r="E46" i="11"/>
  <c r="D46" i="11"/>
  <c r="F45" i="11"/>
  <c r="E43" i="11"/>
  <c r="D43" i="11"/>
  <c r="F42" i="11"/>
  <c r="F43" i="11" s="1"/>
  <c r="F40" i="11"/>
  <c r="E40" i="11"/>
  <c r="D40" i="11"/>
  <c r="F39" i="11"/>
  <c r="F37" i="11"/>
  <c r="E35" i="11"/>
  <c r="D35" i="11"/>
  <c r="F34" i="11"/>
  <c r="F35" i="11" s="1"/>
  <c r="E32" i="11"/>
  <c r="D32" i="11"/>
  <c r="F31" i="11"/>
  <c r="F32" i="11" s="1"/>
  <c r="B29" i="11"/>
  <c r="B27" i="11"/>
  <c r="E23" i="11"/>
  <c r="D23" i="11"/>
  <c r="F22" i="11"/>
  <c r="F23" i="11" s="1"/>
  <c r="E20" i="11"/>
  <c r="D20" i="11"/>
  <c r="F19" i="11"/>
  <c r="F20" i="11" s="1"/>
  <c r="E17" i="11"/>
  <c r="D17" i="11"/>
  <c r="F16" i="11"/>
  <c r="F17" i="11" s="1"/>
  <c r="E14" i="11"/>
  <c r="D14" i="11"/>
  <c r="F13" i="11"/>
  <c r="F14" i="11" s="1"/>
  <c r="E11" i="11"/>
  <c r="D11" i="11"/>
  <c r="F10" i="11"/>
  <c r="F11" i="11" s="1"/>
  <c r="E8" i="11"/>
  <c r="D8" i="11"/>
  <c r="F7" i="11"/>
  <c r="F8" i="11" s="1"/>
  <c r="E7" i="11"/>
  <c r="D7" i="11"/>
  <c r="C7" i="11"/>
  <c r="B7" i="11"/>
  <c r="AN22" i="23"/>
  <c r="AM22" i="23"/>
  <c r="AL22" i="23"/>
  <c r="AK22" i="23"/>
  <c r="AJ22" i="23"/>
  <c r="AI22" i="23"/>
  <c r="AH22" i="23"/>
  <c r="AF22" i="23"/>
  <c r="AE22" i="23"/>
  <c r="AD22" i="23"/>
  <c r="AC22" i="23"/>
  <c r="AB22" i="23"/>
  <c r="AA22" i="23"/>
  <c r="Z22" i="23"/>
  <c r="X22" i="23"/>
  <c r="W22" i="23"/>
  <c r="V22" i="23"/>
  <c r="U22" i="23"/>
  <c r="T22" i="23"/>
  <c r="S22" i="23"/>
  <c r="R22" i="23"/>
  <c r="P22" i="23"/>
  <c r="O22" i="23"/>
  <c r="N22" i="23"/>
  <c r="L22" i="23"/>
  <c r="K22" i="23"/>
  <c r="J22" i="23"/>
  <c r="H22" i="23"/>
  <c r="G22" i="23"/>
  <c r="F22" i="23"/>
  <c r="E22" i="23"/>
  <c r="D22" i="23"/>
  <c r="C22" i="23"/>
  <c r="B22" i="23"/>
  <c r="AN20" i="23"/>
  <c r="AF20" i="23"/>
  <c r="X20" i="23"/>
  <c r="P20" i="23"/>
  <c r="H20" i="23"/>
  <c r="AN18" i="23"/>
  <c r="AM18" i="23"/>
  <c r="AL18" i="23"/>
  <c r="AK18" i="23"/>
  <c r="AJ18" i="23"/>
  <c r="AI18" i="23"/>
  <c r="AH18" i="23"/>
  <c r="AF18" i="23"/>
  <c r="AE18" i="23"/>
  <c r="AD18" i="23"/>
  <c r="AC18" i="23"/>
  <c r="AB18" i="23"/>
  <c r="AA18" i="23"/>
  <c r="Z18" i="23"/>
  <c r="X18" i="23"/>
  <c r="W18" i="23"/>
  <c r="V18" i="23"/>
  <c r="U18" i="23"/>
  <c r="S18" i="23"/>
  <c r="R18" i="23"/>
  <c r="P18" i="23"/>
  <c r="O18" i="23"/>
  <c r="N18" i="23"/>
  <c r="M18" i="23"/>
  <c r="L18" i="23"/>
  <c r="K18" i="23"/>
  <c r="J18" i="23"/>
  <c r="H18" i="23"/>
  <c r="G18" i="23"/>
  <c r="F18" i="23"/>
  <c r="E18" i="23"/>
  <c r="D18" i="23"/>
  <c r="C18" i="23"/>
  <c r="B18" i="23"/>
  <c r="AN16" i="23"/>
  <c r="AF16" i="23"/>
  <c r="X16" i="23"/>
  <c r="P16" i="23"/>
  <c r="H16" i="23"/>
  <c r="AN14" i="23"/>
  <c r="AF14" i="23"/>
  <c r="X14" i="23"/>
  <c r="P14" i="23"/>
  <c r="H14" i="23"/>
  <c r="AN12" i="23"/>
  <c r="AF12" i="23"/>
  <c r="X12" i="23"/>
  <c r="P12" i="23"/>
  <c r="H12" i="23"/>
  <c r="AN10" i="23"/>
  <c r="AM10" i="23"/>
  <c r="AL10" i="23"/>
  <c r="AK10" i="23"/>
  <c r="AJ10" i="23"/>
  <c r="AI10" i="23"/>
  <c r="AH10" i="23"/>
  <c r="AF10" i="23"/>
  <c r="AE10" i="23"/>
  <c r="AD10" i="23"/>
  <c r="AC10" i="23"/>
  <c r="AB10" i="23"/>
  <c r="AA10" i="23"/>
  <c r="Z10" i="23"/>
  <c r="X10" i="23"/>
  <c r="W10" i="23"/>
  <c r="V10" i="23"/>
  <c r="U10" i="23"/>
  <c r="T10" i="23"/>
  <c r="S10" i="23"/>
  <c r="R10" i="23"/>
  <c r="P10" i="23"/>
  <c r="O10" i="23"/>
  <c r="N10" i="23"/>
  <c r="M10" i="23"/>
  <c r="L10" i="23"/>
  <c r="K10" i="23"/>
  <c r="J10" i="23"/>
  <c r="H10" i="23"/>
  <c r="G10" i="23"/>
  <c r="F10" i="23"/>
  <c r="E10" i="23"/>
  <c r="D10" i="23"/>
  <c r="C10" i="23"/>
  <c r="B10" i="23"/>
  <c r="AN9" i="23"/>
  <c r="AM9" i="23"/>
  <c r="AF9" i="23"/>
  <c r="AE9" i="23"/>
  <c r="X9" i="23"/>
  <c r="W9" i="23"/>
  <c r="P9" i="23"/>
  <c r="O9" i="23"/>
  <c r="H9" i="23"/>
  <c r="AN8" i="23"/>
  <c r="AF8" i="23"/>
  <c r="X8" i="23"/>
  <c r="P8" i="23"/>
  <c r="H8" i="23"/>
  <c r="BE340" i="7"/>
  <c r="AQ75" i="7"/>
  <c r="AL75" i="7"/>
  <c r="AG75" i="7"/>
  <c r="AB75" i="7"/>
  <c r="AQ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J62" i="7"/>
  <c r="AF61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P53" i="7"/>
  <c r="AK53" i="7"/>
  <c r="AF53" i="7"/>
  <c r="AP52" i="7"/>
  <c r="AK52" i="7"/>
  <c r="AF52" i="7"/>
  <c r="AP51" i="7"/>
  <c r="AK51" i="7"/>
  <c r="AF51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P24" i="7"/>
  <c r="AK24" i="7"/>
  <c r="AF24" i="7"/>
  <c r="AA24" i="7"/>
  <c r="V24" i="7"/>
  <c r="Q24" i="7"/>
  <c r="L24" i="7"/>
  <c r="AP22" i="7"/>
  <c r="AK22" i="7"/>
  <c r="L22" i="7"/>
  <c r="G22" i="7"/>
  <c r="AP20" i="7"/>
  <c r="AK20" i="7"/>
  <c r="AP18" i="7"/>
  <c r="AK18" i="7"/>
  <c r="AF18" i="7"/>
  <c r="AA18" i="7"/>
  <c r="V18" i="7"/>
  <c r="Q18" i="7"/>
  <c r="L18" i="7"/>
  <c r="AP16" i="7"/>
  <c r="AK16" i="7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F57" i="14" l="1"/>
  <c r="F46" i="14"/>
  <c r="P43" i="13"/>
  <c r="P9" i="13"/>
  <c r="F54" i="12"/>
  <c r="F40" i="12"/>
  <c r="F66" i="12"/>
  <c r="F49" i="11"/>
  <c r="F78" i="11"/>
  <c r="N49" i="20"/>
  <c r="J49" i="20"/>
  <c r="L49" i="20"/>
  <c r="AQ18" i="3"/>
  <c r="AL18" i="3"/>
  <c r="AL17" i="3"/>
  <c r="BI70" i="3"/>
  <c r="BI71" i="3"/>
  <c r="BI69" i="3"/>
  <c r="BN13" i="3"/>
  <c r="BI14" i="3"/>
  <c r="BI25" i="3"/>
  <c r="BK12" i="3"/>
  <c r="BI12" i="3"/>
  <c r="BI13" i="3"/>
  <c r="BK14" i="3"/>
  <c r="BS125" i="3"/>
  <c r="BS126" i="3"/>
  <c r="BS124" i="3"/>
  <c r="BD14" i="3"/>
  <c r="AM19" i="3"/>
  <c r="BF69" i="3"/>
  <c r="BO70" i="3"/>
  <c r="BT125" i="3"/>
  <c r="BG12" i="3"/>
  <c r="BN12" i="3"/>
  <c r="AL13" i="3"/>
  <c r="BD13" i="3"/>
  <c r="BJ13" i="3"/>
  <c r="BP13" i="3"/>
  <c r="AM14" i="3"/>
  <c r="AS17" i="3"/>
  <c r="BA17" i="3"/>
  <c r="AM18" i="3"/>
  <c r="AS18" i="3"/>
  <c r="BE18" i="3"/>
  <c r="BR19" i="3"/>
  <c r="BP22" i="3"/>
  <c r="BR23" i="3"/>
  <c r="BI24" i="3"/>
  <c r="AL25" i="3"/>
  <c r="BJ25" i="3"/>
  <c r="BP25" i="3"/>
  <c r="BD40" i="3"/>
  <c r="BS40" i="3"/>
  <c r="BI41" i="3"/>
  <c r="BD42" i="3"/>
  <c r="BP42" i="3"/>
  <c r="AQ49" i="3"/>
  <c r="BF49" i="3"/>
  <c r="AE50" i="3"/>
  <c r="BI50" i="3"/>
  <c r="P53" i="3"/>
  <c r="AE53" i="3"/>
  <c r="AT53" i="3"/>
  <c r="BI53" i="3"/>
  <c r="P54" i="3"/>
  <c r="AT54" i="3"/>
  <c r="BK68" i="3"/>
  <c r="BG69" i="3"/>
  <c r="BN69" i="3"/>
  <c r="BD70" i="3"/>
  <c r="BJ70" i="3"/>
  <c r="BP70" i="3"/>
  <c r="BG71" i="3"/>
  <c r="BM71" i="3"/>
  <c r="BN74" i="3"/>
  <c r="BP76" i="3"/>
  <c r="BF79" i="3"/>
  <c r="BN80" i="3"/>
  <c r="BK81" i="3"/>
  <c r="BD120" i="3"/>
  <c r="BS121" i="3"/>
  <c r="BL124" i="3"/>
  <c r="BP14" i="3"/>
  <c r="AX18" i="3"/>
  <c r="BC25" i="3"/>
  <c r="BD79" i="3"/>
  <c r="BD81" i="3"/>
  <c r="BR11" i="3"/>
  <c r="AL12" i="3"/>
  <c r="BH12" i="3"/>
  <c r="BP12" i="3"/>
  <c r="BK13" i="3"/>
  <c r="BQ13" i="3"/>
  <c r="BF14" i="3"/>
  <c r="BL14" i="3"/>
  <c r="AM17" i="3"/>
  <c r="AT17" i="3"/>
  <c r="AT18" i="3"/>
  <c r="AZ18" i="3"/>
  <c r="AO19" i="3"/>
  <c r="AU19" i="3"/>
  <c r="BS19" i="3"/>
  <c r="BS32" i="3"/>
  <c r="BF40" i="3"/>
  <c r="BD41" i="3"/>
  <c r="BK42" i="3"/>
  <c r="AG53" i="3"/>
  <c r="BK53" i="3"/>
  <c r="K54" i="3"/>
  <c r="AO54" i="3"/>
  <c r="BS54" i="3"/>
  <c r="BH69" i="3"/>
  <c r="BP69" i="3"/>
  <c r="U70" i="3"/>
  <c r="BQ70" i="3"/>
  <c r="BH71" i="3"/>
  <c r="BN71" i="3"/>
  <c r="BT71" i="3"/>
  <c r="BP74" i="3"/>
  <c r="BS75" i="3"/>
  <c r="BI80" i="3"/>
  <c r="BF81" i="3"/>
  <c r="BL81" i="3"/>
  <c r="BP125" i="3"/>
  <c r="BE19" i="3"/>
  <c r="BF13" i="3"/>
  <c r="BL13" i="3"/>
  <c r="BG14" i="3"/>
  <c r="BM14" i="3"/>
  <c r="BS14" i="3"/>
  <c r="AN17" i="3"/>
  <c r="AV17" i="3"/>
  <c r="AO18" i="3"/>
  <c r="BA18" i="3"/>
  <c r="BS18" i="3"/>
  <c r="AP19" i="3"/>
  <c r="AV19" i="3"/>
  <c r="BR22" i="3"/>
  <c r="BL25" i="3"/>
  <c r="BR25" i="3"/>
  <c r="AY50" i="3"/>
  <c r="K53" i="3"/>
  <c r="AO53" i="3"/>
  <c r="AJ54" i="3"/>
  <c r="BN54" i="3"/>
  <c r="BS68" i="3"/>
  <c r="P69" i="3"/>
  <c r="BQ69" i="3"/>
  <c r="P70" i="3"/>
  <c r="BL70" i="3"/>
  <c r="BR70" i="3"/>
  <c r="BO71" i="3"/>
  <c r="AU75" i="3"/>
  <c r="AZ76" i="3"/>
  <c r="BP79" i="3"/>
  <c r="BP80" i="3"/>
  <c r="BI119" i="3"/>
  <c r="BI121" i="3"/>
  <c r="BN124" i="3"/>
  <c r="BQ125" i="3"/>
  <c r="BS137" i="3"/>
  <c r="BC13" i="3"/>
  <c r="BJ14" i="3"/>
  <c r="BC12" i="3"/>
  <c r="BA13" i="3"/>
  <c r="BG13" i="3"/>
  <c r="BM13" i="3"/>
  <c r="BS13" i="3"/>
  <c r="BB14" i="3"/>
  <c r="BH14" i="3"/>
  <c r="BN14" i="3"/>
  <c r="BT14" i="3"/>
  <c r="AW17" i="3"/>
  <c r="AV18" i="3"/>
  <c r="AQ19" i="3"/>
  <c r="BS22" i="3"/>
  <c r="BR24" i="3"/>
  <c r="BS25" i="3"/>
  <c r="BS42" i="3"/>
  <c r="AE49" i="3"/>
  <c r="AT49" i="3"/>
  <c r="BI49" i="3"/>
  <c r="AT50" i="3"/>
  <c r="BD71" i="3"/>
  <c r="BJ71" i="3"/>
  <c r="BP71" i="3"/>
  <c r="BN75" i="3"/>
  <c r="BK80" i="3"/>
  <c r="BK119" i="3"/>
  <c r="BS120" i="3"/>
  <c r="BD121" i="3"/>
  <c r="BP124" i="3"/>
  <c r="BO13" i="3"/>
  <c r="BJ18" i="3"/>
  <c r="BF71" i="3"/>
  <c r="AW12" i="3"/>
  <c r="BD12" i="3"/>
  <c r="BB13" i="3"/>
  <c r="BH13" i="3"/>
  <c r="BT13" i="3"/>
  <c r="AQ17" i="3"/>
  <c r="AW18" i="3"/>
  <c r="BS119" i="3"/>
  <c r="BN120" i="3"/>
  <c r="BQ124" i="3"/>
  <c r="K49" i="20" l="1"/>
  <c r="M49" i="20"/>
  <c r="BS69" i="3"/>
  <c r="BS70" i="3"/>
  <c r="BS71" i="3"/>
  <c r="BK71" i="3"/>
  <c r="BK69" i="3"/>
  <c r="BK70" i="3"/>
  <c r="BL71" i="3"/>
  <c r="BL69" i="3"/>
  <c r="BR12" i="3"/>
  <c r="BR13" i="3"/>
  <c r="BR14" i="3"/>
  <c r="BS12" i="3"/>
</calcChain>
</file>

<file path=xl/sharedStrings.xml><?xml version="1.0" encoding="utf-8"?>
<sst xmlns="http://schemas.openxmlformats.org/spreadsheetml/2006/main" count="2797" uniqueCount="440">
  <si>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</si>
  <si>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</si>
  <si>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</si>
  <si>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</si>
  <si>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</si>
  <si>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</si>
  <si>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</si>
  <si>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</si>
  <si>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</si>
  <si>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</si>
  <si>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</si>
  <si>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</si>
  <si>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</si>
  <si>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</si>
  <si>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</si>
  <si>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</si>
  <si>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</si>
  <si>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</si>
  <si>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</si>
  <si>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</si>
  <si>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</si>
  <si>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</si>
  <si>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</si>
  <si>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Phone     +9722 539 5441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</si>
  <si>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</si>
  <si>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</si>
  <si>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</si>
  <si>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</si>
  <si>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</si>
  <si>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</si>
  <si>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</si>
  <si>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</si>
  <si>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</si>
  <si>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</si>
  <si>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</si>
  <si>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</si>
  <si>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</si>
  <si>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</si>
  <si>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</si>
  <si>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</si>
  <si>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</si>
  <si>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</si>
  <si>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</si>
  <si>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</si>
  <si>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</si>
  <si>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</si>
  <si>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</si>
  <si>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</si>
  <si>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</si>
  <si>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</si>
  <si>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</si>
  <si>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</si>
  <si>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</si>
  <si>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</si>
  <si>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</si>
  <si>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</si>
  <si>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</si>
  <si>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</si>
  <si>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 xml:space="preserve">Total access lines (in 000's) 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</si>
  <si>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</si>
  <si>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</si>
  <si>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</si>
  <si>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</si>
  <si>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</si>
  <si>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</si>
  <si>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</si>
  <si>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</si>
  <si>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</si>
  <si>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</si>
  <si>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</si>
  <si>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</si>
  <si>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</si>
  <si>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</si>
  <si>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</si>
  <si>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</si>
  <si>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</si>
  <si>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</si>
  <si>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</si>
  <si>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</si>
  <si>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</si>
  <si>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</si>
  <si>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</si>
  <si>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</si>
  <si>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</si>
  <si>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</si>
  <si>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</si>
  <si>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</si>
  <si>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</si>
  <si>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</si>
  <si>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</si>
  <si>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</si>
  <si>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</si>
  <si>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</si>
  <si>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</si>
  <si>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</si>
  <si>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</si>
  <si>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</si>
  <si>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</si>
  <si>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</si>
  <si>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</si>
  <si>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</si>
  <si>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</si>
  <si>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</si>
  <si>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</si>
  <si>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</si>
  <si>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</si>
  <si>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</si>
  <si>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</si>
  <si>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</si>
  <si>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</si>
  <si>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</si>
  <si>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</si>
  <si>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</si>
  <si>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</si>
  <si>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</si>
  <si>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lines (in 000's)-Wholesale</t>
  </si>
  <si>
    <t>Broadband Internet lines (in 000's)- Total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</si>
  <si>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</si>
  <si>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</si>
  <si>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</si>
  <si>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</si>
  <si>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</si>
  <si>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</si>
  <si>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</si>
  <si>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</si>
  <si>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</si>
  <si>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</si>
  <si>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</si>
  <si>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</si>
  <si>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</si>
  <si>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</si>
  <si>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</si>
  <si>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</si>
  <si>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</si>
  <si>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</si>
  <si>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</si>
  <si>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</si>
  <si>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</si>
  <si>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</si>
  <si>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</si>
  <si>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</si>
  <si>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</si>
  <si>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</si>
  <si>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</si>
  <si>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</si>
  <si>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</si>
  <si>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</si>
  <si>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</si>
  <si>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</si>
  <si>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>Broadband Internet lines (in 000's) - Retail</t>
  </si>
  <si>
    <t>EBITDA, reported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</si>
  <si>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</si>
  <si>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</si>
  <si>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</si>
  <si>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</si>
  <si>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</si>
  <si>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</si>
  <si>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</si>
  <si>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</si>
  <si>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</si>
  <si>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</si>
  <si>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</si>
  <si>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</si>
  <si>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</si>
  <si>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</si>
  <si>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</si>
  <si>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</si>
  <si>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</si>
  <si>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</si>
  <si>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</si>
  <si>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</si>
  <si>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</si>
  <si>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</si>
  <si>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</si>
  <si>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</si>
  <si>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</si>
  <si>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</si>
  <si>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</si>
  <si>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</si>
  <si>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</si>
  <si>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</si>
  <si>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</si>
  <si>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</si>
  <si>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</si>
  <si>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</si>
  <si>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</si>
  <si>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</si>
  <si>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</si>
  <si>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</si>
  <si>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</si>
  <si>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</si>
  <si>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</si>
  <si>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</si>
  <si>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</si>
  <si>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</si>
  <si>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</si>
  <si>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</si>
  <si>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</si>
  <si>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</si>
  <si>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</si>
  <si>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</si>
  <si>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</si>
  <si>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t>Wholesale lines as % of total broadband lines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</si>
  <si>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</si>
  <si>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</si>
  <si>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</si>
  <si>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</si>
  <si>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</si>
  <si>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</si>
  <si>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</si>
  <si>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</si>
  <si>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</si>
  <si>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</si>
  <si>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</si>
  <si>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</si>
  <si>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</si>
  <si>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</si>
  <si>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</si>
  <si>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</si>
  <si>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</si>
  <si>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</si>
  <si>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</si>
  <si>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</si>
  <si>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</si>
  <si>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</si>
  <si>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</si>
  <si>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</si>
  <si>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</si>
  <si>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</si>
  <si>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</si>
  <si>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</si>
  <si>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</si>
  <si>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</si>
  <si>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</si>
  <si>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</si>
  <si>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</si>
  <si>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</si>
  <si>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</si>
  <si>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</si>
  <si>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</si>
  <si>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</si>
  <si>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</si>
  <si>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</si>
  <si>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</si>
  <si>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</si>
  <si>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</si>
  <si>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</si>
  <si>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</si>
  <si>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</si>
  <si>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</si>
  <si>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</si>
  <si>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</si>
  <si>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</si>
  <si>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</si>
  <si>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Stable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</si>
  <si>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</si>
  <si>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</si>
  <si>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</si>
  <si>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</si>
  <si>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</si>
  <si>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>Net profit (loss) - reported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</si>
  <si>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</si>
  <si>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</si>
  <si>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</si>
  <si>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</si>
  <si>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ARPU (in NIS)*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</si>
  <si>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</si>
  <si>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</si>
  <si>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</si>
  <si>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</si>
  <si>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</si>
  <si>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</si>
  <si>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</si>
  <si>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</si>
  <si>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</si>
  <si>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</si>
  <si>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</si>
  <si>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</si>
  <si>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</si>
  <si>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</si>
  <si>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</si>
  <si>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Variable; based on the annual interest rate for Treasury Bills</t>
  </si>
  <si>
    <t>Adjusted EBITDA Calculation</t>
  </si>
  <si>
    <t xml:space="preserve"> Adjusted Net Profit Calculation</t>
  </si>
  <si>
    <t>in 2020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</si>
  <si>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</si>
  <si>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</si>
  <si>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</si>
  <si>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</si>
  <si>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</si>
  <si>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</si>
  <si>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</si>
  <si>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</si>
  <si>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</si>
  <si>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</si>
  <si>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</si>
  <si>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</si>
  <si>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>Adjusted EBITDA - Key Subsidiary Companies</t>
  </si>
  <si>
    <t>Adjusted Net Profit - Key Subsidiary Companies</t>
  </si>
  <si>
    <t xml:space="preserve">Change in other liabilities </t>
  </si>
  <si>
    <t>Capital expenditures, gross (cash)</t>
  </si>
  <si>
    <t>Capital expenditures, net (cash)</t>
  </si>
  <si>
    <t>ADJUSTED NET PROFIT (LOSS)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</si>
  <si>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</si>
  <si>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</si>
  <si>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</si>
  <si>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</si>
  <si>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</si>
  <si>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</si>
  <si>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</si>
  <si>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</si>
  <si>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</si>
  <si>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</si>
  <si>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</si>
  <si>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</si>
  <si>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</si>
  <si>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</si>
  <si>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</si>
  <si>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</si>
  <si>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</si>
  <si>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</si>
  <si>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</si>
  <si>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</si>
  <si>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</si>
  <si>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</si>
  <si>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</si>
  <si>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</si>
  <si>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</si>
  <si>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</si>
  <si>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</si>
  <si>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</si>
  <si>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</si>
  <si>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</si>
  <si>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</si>
  <si>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</si>
  <si>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</si>
  <si>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</si>
  <si>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</si>
  <si>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</si>
  <si>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</si>
  <si>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</si>
  <si>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</si>
  <si>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</si>
  <si>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</si>
  <si>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</si>
  <si>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</si>
  <si>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</si>
  <si>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</si>
  <si>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</si>
  <si>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</si>
  <si>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</si>
  <si>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</si>
  <si>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</si>
  <si>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</si>
  <si>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</si>
  <si>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</si>
  <si>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</si>
  <si>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Total operating expenses</t>
  </si>
  <si>
    <t xml:space="preserve">Total operating expenses </t>
  </si>
  <si>
    <t>Pelephone Adjusted EBITDA Margin</t>
  </si>
  <si>
    <t xml:space="preserve">Bezeq International Adjusted EBITDA </t>
  </si>
  <si>
    <t>Bezeq International Adjusted EBITDA Margin</t>
  </si>
  <si>
    <t xml:space="preserve">yes Adjusted EBITDA </t>
  </si>
  <si>
    <t>yes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</si>
  <si>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</si>
  <si>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</si>
  <si>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</si>
  <si>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</si>
  <si>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</si>
  <si>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</si>
  <si>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>yes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</si>
  <si>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</si>
  <si>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</si>
  <si>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</si>
  <si>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</si>
  <si>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</si>
  <si>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</si>
  <si>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</si>
  <si>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</si>
  <si>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</si>
  <si>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</si>
  <si>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</si>
  <si>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</si>
  <si>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</si>
  <si>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</si>
  <si>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</si>
  <si>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</si>
  <si>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</si>
  <si>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</si>
  <si>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</si>
  <si>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Bezeq Facts &amp; Figures Q4 &amp; FY 2021</t>
  </si>
  <si>
    <t>Three months and year ending December 31, 2021</t>
  </si>
  <si>
    <t>FY 2021</t>
  </si>
  <si>
    <t>Free cash flow (after leases)</t>
  </si>
  <si>
    <t>Summary of Financial Undertakings as of Dec 31, 2021 (based on repayment dates)</t>
  </si>
  <si>
    <t>The following table shows the distribution of long-term debt as of December 31, 2021 (including current maturities):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</si>
  <si>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</si>
  <si>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</si>
  <si>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</si>
  <si>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</si>
  <si>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</si>
  <si>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א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</si>
  <si>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</si>
  <si>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</si>
  <si>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</si>
  <si>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</si>
  <si>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1.38% - 1.43%</t>
  </si>
  <si>
    <t>2.79% - 4.00%</t>
  </si>
  <si>
    <t>0.58% - 3.70%</t>
  </si>
  <si>
    <t>Adjusted EBITDA</t>
  </si>
  <si>
    <t>2021 Results</t>
  </si>
  <si>
    <t>2022 Outlook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</si>
  <si>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</si>
  <si>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</si>
  <si>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</si>
  <si>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</si>
  <si>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</si>
  <si>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</si>
  <si>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NIS 1.0 - 1.1 billion</t>
  </si>
  <si>
    <t>NIS 3.6 - 3.7 billion</t>
  </si>
  <si>
    <t>NIS 1.15 billion</t>
  </si>
  <si>
    <t>NIS 3.71 billion</t>
  </si>
  <si>
    <t>NIS 1.7 - 1.8 billion</t>
  </si>
  <si>
    <t>NIS 1.04 billion</t>
  </si>
  <si>
    <t>Stable CapEx and CapEx/Sales until 2024; Gradual reduction thereafter</t>
  </si>
  <si>
    <t>Maintain credit rating within the AA group</t>
  </si>
  <si>
    <t xml:space="preserve">1.4 milion </t>
  </si>
  <si>
    <t>2.1 million</t>
  </si>
  <si>
    <t>Bezeq Group FY 2022 Outlook and Mid-Term Ambitions</t>
  </si>
  <si>
    <t>Revenues from Internet &amp; data services</t>
  </si>
  <si>
    <t>Revenues from ILD services</t>
  </si>
  <si>
    <t>Revenues from ICT business services</t>
  </si>
  <si>
    <t>Revenues from equipment and licensing services for businesses</t>
  </si>
  <si>
    <t xml:space="preserve">Stable with adjusted EBITDA margins of 41% - 43% </t>
  </si>
  <si>
    <t>NIS 1.69 billion</t>
  </si>
  <si>
    <t>1.17 million*</t>
  </si>
  <si>
    <t>* As of date of publication of FY 2021 report</t>
  </si>
  <si>
    <t>Mid-single digit growth (CAGR)</t>
  </si>
  <si>
    <t>May 16, 2022</t>
  </si>
  <si>
    <t>Semi-Annual Dividend -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</si>
</sst>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#,##0_ ;\(#,##0\)"/>
    <numFmt numFmtId="174" formatCode="B1mmm\-yy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0" fontId="4" fillId="2" borderId="0" xfId="0" applyFont="1" applyFill="1" applyBorder="1" applyAlignment="1">
      <alignment horizontal="left"/>
    </xf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164" fontId="5" fillId="0" borderId="0" xfId="0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1" fillId="0" borderId="5" xfId="0" applyFont="1" applyBorder="1"/>
    <xf numFmtId="165" fontId="0" fillId="0" borderId="5" xfId="1" applyNumberFormat="1" applyFont="1" applyBorder="1"/>
    <xf numFmtId="0" fontId="5" fillId="0" borderId="5" xfId="0" applyFont="1" applyBorder="1"/>
    <xf numFmtId="165" fontId="5" fillId="0" borderId="5" xfId="0" applyNumberFormat="1" applyFont="1" applyBorder="1"/>
    <xf numFmtId="0" fontId="7" fillId="0" borderId="0" xfId="0" applyFont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 wrapText="1"/>
    </xf>
    <xf numFmtId="0" fontId="5" fillId="0" borderId="5" xfId="0" applyFont="1" applyBorder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10" fontId="1" fillId="0" borderId="0" xfId="1" applyNumberFormat="1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/>
    </xf>
    <xf numFmtId="165" fontId="1" fillId="0" borderId="0" xfId="1" applyNumberFormat="1" applyFont="1" applyAlignment="1"/>
    <xf numFmtId="165" fontId="1" fillId="0" borderId="3" xfId="1" applyNumberFormat="1" applyFont="1" applyBorder="1" applyAlignment="1"/>
    <xf numFmtId="10" fontId="1" fillId="0" borderId="3" xfId="1" applyNumberFormat="1" applyFont="1" applyBorder="1"/>
    <xf numFmtId="0" fontId="1" fillId="0" borderId="3" xfId="0" applyFont="1" applyBorder="1" applyAlignment="1">
      <alignment horizontal="center"/>
    </xf>
    <xf numFmtId="165" fontId="1" fillId="0" borderId="0" xfId="1" applyNumberFormat="1" applyFont="1" applyAlignment="1">
      <alignment horizontal="center" wrapText="1"/>
    </xf>
    <xf numFmtId="165" fontId="1" fillId="0" borderId="3" xfId="1" applyNumberFormat="1" applyFont="1" applyBorder="1" applyAlignment="1">
      <alignment horizontal="center"/>
    </xf>
    <xf numFmtId="165" fontId="1" fillId="0" borderId="0" xfId="1" applyNumberFormat="1" applyFont="1" applyBorder="1"/>
    <xf numFmtId="165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0" fontId="1" fillId="0" borderId="0" xfId="0" applyFont="1" applyBorder="1" applyAlignment="1">
      <alignment horizontal="left"/>
    </xf>
    <xf numFmtId="165" fontId="1" fillId="0" borderId="0" xfId="1" applyNumberFormat="1" applyFont="1" applyBorder="1" applyAlignment="1"/>
    <xf numFmtId="165" fontId="1" fillId="0" borderId="0" xfId="1" applyNumberFormat="1" applyFont="1" applyAlignment="1">
      <alignment horizontal="right" readingOrder="1"/>
    </xf>
    <xf numFmtId="165" fontId="1" fillId="0" borderId="0" xfId="1" applyNumberFormat="1" applyFont="1" applyAlignment="1">
      <alignment horizontal="left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0" fontId="1" fillId="0" borderId="3" xfId="0" applyFont="1" applyBorder="1"/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0" xfId="0" applyNumberFormat="1" applyFont="1"/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0" fontId="44" fillId="0" borderId="0" xfId="0" applyFont="1" applyFill="1" applyBorder="1"/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4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165" fontId="0" fillId="0" borderId="0" xfId="0" applyNumberFormat="1" applyFill="1" applyBorder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173" fontId="5" fillId="8" borderId="1" xfId="1" applyNumberFormat="1" applyFont="1" applyFill="1" applyBorder="1"/>
    <xf numFmtId="0" fontId="0" fillId="8" borderId="0" xfId="0" applyFill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" fontId="5" fillId="8" borderId="0" xfId="0" applyNumberFormat="1" applyFont="1" applyFill="1" applyBorder="1"/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168" fontId="5" fillId="0" borderId="0" xfId="0" applyNumberFormat="1" applyFont="1" applyFill="1" applyBorder="1"/>
    <xf numFmtId="0" fontId="37" fillId="5" borderId="0" xfId="0" applyFont="1" applyFill="1" applyBorder="1"/>
    <xf numFmtId="165" fontId="5" fillId="8" borderId="1" xfId="0" applyNumberFormat="1" applyFont="1" applyFill="1" applyBorder="1"/>
    <xf numFmtId="165" fontId="1" fillId="0" borderId="3" xfId="1" applyNumberFormat="1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/>
    </xf>
    <xf numFmtId="0" fontId="50" fillId="0" borderId="0" xfId="0" applyFont="1" applyFill="1"/>
    <xf numFmtId="165" fontId="1" fillId="0" borderId="3" xfId="1" applyNumberFormat="1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justify" vertical="center"/>
    </xf>
    <xf numFmtId="0" fontId="48" fillId="0" borderId="0" xfId="0" applyFont="1"/>
    <xf numFmtId="0" fontId="1" fillId="0" borderId="0" xfId="0" applyFont="1" applyBorder="1" applyAlignment="1" applyProtection="1">
      <alignment horizontal="center"/>
      <protection locked="0"/>
    </xf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topLeftCell="A7" workbookViewId="0">
      <selection activeCell="J20" sqref="J20"/>
    </sheetView>
  </sheetViews>
  <sheetFormatPr defaultColWidth="8.7109375" defaultRowHeight="12.75"/>
  <cols>
    <col min="2" max="2" width="15.7109375" customWidth="1"/>
    <col min="3" max="3" width="9.28515625" customWidth="1"/>
    <col min="4" max="4" width="5.7109375" customWidth="1"/>
    <col min="5" max="5" width="9.28515625" hidden="1" customWidth="1"/>
    <col min="6" max="6" width="9.28515625" customWidth="1"/>
    <col min="7" max="7" width="23.28515625" customWidth="1"/>
    <col min="8" max="8" width="9" customWidth="1"/>
    <col min="9" max="9" width="2.5703125" customWidth="1"/>
    <col min="10" max="10" width="13.28515625" customWidth="1"/>
    <col min="11" max="11" width="12.28515625" customWidth="1"/>
    <col min="12" max="12" width="26.42578125" customWidth="1"/>
    <col min="13" max="13" width="10.28515625" customWidth="1"/>
    <col min="14" max="14" width="9.285156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6.25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30" t="s">
        <v>390</v>
      </c>
      <c r="K12" s="128"/>
      <c r="L12" s="128"/>
      <c r="N12" s="6"/>
      <c r="O12" s="4"/>
      <c r="P12" s="4"/>
    </row>
    <row r="13" spans="4:16" ht="15.75">
      <c r="D13" s="4"/>
      <c r="E13" s="4"/>
      <c r="F13" s="4"/>
      <c r="J13" s="129" t="s">
        <v>391</v>
      </c>
      <c r="K13" s="129"/>
      <c r="L13" s="129"/>
      <c r="N13" s="6"/>
      <c r="O13" s="4"/>
      <c r="P13" s="4"/>
    </row>
    <row r="14" spans="4:16" ht="15.75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75">
      <c r="D15" s="4"/>
      <c r="E15" s="4"/>
      <c r="F15" s="4"/>
      <c r="G15" s="4"/>
      <c r="H15" s="18" t="s">
        <v>26</v>
      </c>
      <c r="I15" s="18"/>
      <c r="J15" s="17"/>
      <c r="K15" s="17"/>
      <c r="L15" s="17"/>
      <c r="N15" s="4"/>
      <c r="O15" s="4"/>
      <c r="P15" s="4"/>
    </row>
    <row r="16" spans="4:16" ht="15.75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75">
      <c r="D17" s="4"/>
      <c r="E17" s="4"/>
      <c r="F17" s="4"/>
      <c r="G17" s="4"/>
      <c r="H17" s="233" t="s">
        <v>114</v>
      </c>
      <c r="I17" s="168" t="s">
        <v>292</v>
      </c>
      <c r="J17" s="17"/>
      <c r="K17" s="17"/>
      <c r="N17" s="7"/>
      <c r="O17" s="4"/>
      <c r="P17" s="4"/>
    </row>
    <row r="18" spans="4:16" ht="15.75">
      <c r="D18" s="4"/>
      <c r="E18" s="4"/>
      <c r="F18" s="4"/>
      <c r="G18" s="4"/>
      <c r="H18" s="233" t="s">
        <v>114</v>
      </c>
      <c r="I18" s="168" t="s">
        <v>146</v>
      </c>
      <c r="K18" s="15"/>
      <c r="N18" s="7"/>
      <c r="O18" s="4"/>
      <c r="P18" s="4"/>
    </row>
    <row r="19" spans="4:16" ht="15.75">
      <c r="D19" s="4"/>
      <c r="E19" s="4"/>
      <c r="F19" s="4"/>
      <c r="G19" s="4"/>
      <c r="H19" s="233" t="s">
        <v>114</v>
      </c>
      <c r="I19" s="168" t="s">
        <v>375</v>
      </c>
      <c r="K19" s="15"/>
      <c r="N19" s="4"/>
      <c r="O19" s="4"/>
    </row>
    <row r="20" spans="4:16" ht="15.75">
      <c r="D20" s="4"/>
      <c r="E20" s="4"/>
      <c r="F20" s="4"/>
      <c r="G20" s="4"/>
      <c r="H20" s="233" t="s">
        <v>114</v>
      </c>
      <c r="I20" s="168" t="s">
        <v>249</v>
      </c>
      <c r="N20" s="14"/>
      <c r="O20" s="4"/>
    </row>
    <row r="21" spans="4:16" ht="15.75">
      <c r="D21" s="4"/>
      <c r="E21" s="4"/>
      <c r="F21" s="4"/>
      <c r="G21" s="4"/>
      <c r="H21" s="233" t="s">
        <v>114</v>
      </c>
      <c r="I21" s="168" t="s">
        <v>32</v>
      </c>
      <c r="N21" s="14"/>
      <c r="O21" s="4"/>
    </row>
    <row r="22" spans="4:16" ht="15.75">
      <c r="D22" s="4"/>
      <c r="E22" s="4"/>
      <c r="F22" s="4"/>
      <c r="G22" s="4"/>
      <c r="H22" s="233"/>
      <c r="I22" s="168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23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33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219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384</v>
      </c>
      <c r="P30" s="9"/>
    </row>
    <row r="31" spans="4:16" ht="12.75" customHeight="1">
      <c r="E31" s="11"/>
      <c r="F31" s="4"/>
      <c r="G31" s="4"/>
      <c r="H31" t="s">
        <v>385</v>
      </c>
      <c r="P31" s="9"/>
    </row>
    <row r="32" spans="4:16" ht="14.25" customHeight="1">
      <c r="D32" s="9"/>
      <c r="E32" s="4"/>
      <c r="F32" s="4"/>
      <c r="G32" s="4"/>
      <c r="H32" t="s">
        <v>386</v>
      </c>
      <c r="I32" s="4"/>
      <c r="P32" s="9"/>
    </row>
    <row r="33" spans="4:16">
      <c r="D33" s="9"/>
      <c r="E33" s="4"/>
      <c r="F33" s="4"/>
      <c r="G33" s="4"/>
      <c r="H33" t="s">
        <v>387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C75"/>
  <sheetViews>
    <sheetView showGridLines="0" tabSelected="1" zoomScale="110" zoomScaleNormal="110" workbookViewId="0">
      <pane xSplit="1" ySplit="7" topLeftCell="Q63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52.7109375" customWidth="1"/>
    <col min="2" max="5" width="9.140625" hidden="1" customWidth="1"/>
    <col min="7" max="10" width="9.140625" hidden="1" customWidth="1"/>
    <col min="12" max="16" width="9.140625" hidden="1" customWidth="1"/>
    <col min="21" max="21" width="0" hidden="1" customWidth="1"/>
    <col min="27" max="27" width="0" hidden="1" customWidth="1"/>
  </cols>
  <sheetData>
    <row r="1" spans="1:2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29">
      <c r="A3" s="30"/>
      <c r="B3" s="45" t="s">
        <v>68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68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68</v>
      </c>
      <c r="M3" s="45" t="s">
        <v>0</v>
      </c>
      <c r="N3" s="45" t="s">
        <v>1</v>
      </c>
      <c r="O3" s="45" t="s">
        <v>380</v>
      </c>
      <c r="P3" s="45" t="s">
        <v>2</v>
      </c>
      <c r="Q3" s="45" t="s">
        <v>5</v>
      </c>
      <c r="R3" s="45" t="s">
        <v>68</v>
      </c>
      <c r="S3" s="45" t="s">
        <v>0</v>
      </c>
      <c r="T3" s="45" t="s">
        <v>1</v>
      </c>
      <c r="U3" s="45" t="s">
        <v>380</v>
      </c>
      <c r="V3" s="45" t="s">
        <v>2</v>
      </c>
      <c r="W3" s="45" t="s">
        <v>5</v>
      </c>
      <c r="X3" s="45" t="s">
        <v>68</v>
      </c>
      <c r="Y3" s="45" t="s">
        <v>0</v>
      </c>
      <c r="Z3" s="45" t="s">
        <v>1</v>
      </c>
      <c r="AA3" s="45" t="s">
        <v>380</v>
      </c>
      <c r="AB3" s="45" t="s">
        <v>2</v>
      </c>
      <c r="AC3" s="45" t="s">
        <v>5</v>
      </c>
    </row>
    <row r="4" spans="1:29">
      <c r="A4" s="237" t="s">
        <v>259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</row>
    <row r="5" spans="1:29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ht="20.25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>
      <c r="A7" s="328" t="s">
        <v>55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</row>
    <row r="8" spans="1:29">
      <c r="A8" s="60" t="s">
        <v>46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f>K8-I8-H8-G8</f>
        <v>370</v>
      </c>
      <c r="K8" s="35">
        <v>1391</v>
      </c>
      <c r="L8" s="61">
        <v>341</v>
      </c>
      <c r="M8" s="61">
        <v>339</v>
      </c>
      <c r="N8" s="61">
        <v>329</v>
      </c>
      <c r="O8" s="309">
        <f>N8+M8+L8</f>
        <v>1009</v>
      </c>
      <c r="P8" s="61">
        <f>Q8-L8-M8-N8</f>
        <v>330</v>
      </c>
      <c r="Q8" s="35">
        <v>1339</v>
      </c>
      <c r="R8" s="61">
        <v>317</v>
      </c>
      <c r="S8" s="61">
        <v>314</v>
      </c>
      <c r="T8" s="61">
        <v>315</v>
      </c>
      <c r="U8" s="309">
        <v>946</v>
      </c>
      <c r="V8" s="61">
        <v>325</v>
      </c>
      <c r="W8" s="35">
        <v>1271</v>
      </c>
      <c r="X8" s="61">
        <v>312</v>
      </c>
      <c r="Y8" s="61">
        <v>310</v>
      </c>
      <c r="Z8" s="61">
        <v>287</v>
      </c>
      <c r="AA8" s="309">
        <v>909</v>
      </c>
      <c r="AB8" s="61">
        <v>328</v>
      </c>
      <c r="AC8" s="35">
        <v>1237</v>
      </c>
    </row>
    <row r="9" spans="1:29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f>G8/E8-1</f>
        <v>-7.1240105540897103E-2</v>
      </c>
      <c r="H9" s="63">
        <f>H8/G8-1</f>
        <v>-4.5454545454545414E-2</v>
      </c>
      <c r="I9" s="63">
        <f>I8/H8-1</f>
        <v>-8.9285714285713969E-3</v>
      </c>
      <c r="J9" s="63">
        <f>J8/I8-1</f>
        <v>0.11111111111111116</v>
      </c>
      <c r="K9" s="23"/>
      <c r="L9" s="63">
        <f>L8/J8-1</f>
        <v>-7.8378378378378355E-2</v>
      </c>
      <c r="M9" s="63">
        <f>M8/L8-1</f>
        <v>-5.8651026392961825E-3</v>
      </c>
      <c r="N9" s="63">
        <f>N8/M8-1</f>
        <v>-2.9498525073746285E-2</v>
      </c>
      <c r="O9" s="310"/>
      <c r="P9" s="63">
        <f>P8/N8-1</f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310"/>
      <c r="V9" s="63">
        <v>3.1746031746031855E-2</v>
      </c>
      <c r="W9" s="23"/>
      <c r="X9" s="63">
        <v>-4.0000000000000036E-2</v>
      </c>
      <c r="Y9" s="63">
        <v>-6.4102564102563875E-3</v>
      </c>
      <c r="Z9" s="63">
        <v>-7.4193548387096797E-2</v>
      </c>
      <c r="AA9" s="310"/>
      <c r="AB9" s="63">
        <v>0.14285714285714279</v>
      </c>
      <c r="AC9" s="23"/>
    </row>
    <row r="10" spans="1:29" ht="11.25" customHeight="1">
      <c r="A10" s="62" t="s">
        <v>8</v>
      </c>
      <c r="B10" s="64"/>
      <c r="C10" s="64"/>
      <c r="D10" s="64"/>
      <c r="E10" s="64"/>
      <c r="F10" s="23"/>
      <c r="G10" s="64">
        <f t="shared" ref="G10:M10" si="0">G8/B8-1</f>
        <v>-8.333333333333337E-2</v>
      </c>
      <c r="H10" s="64">
        <f t="shared" si="0"/>
        <v>-0.1744471744471745</v>
      </c>
      <c r="I10" s="64">
        <f t="shared" si="0"/>
        <v>-9.2643051771117202E-2</v>
      </c>
      <c r="J10" s="64">
        <f t="shared" si="0"/>
        <v>-2.3746701846965701E-2</v>
      </c>
      <c r="K10" s="23">
        <f t="shared" si="0"/>
        <v>-9.4990240728692221E-2</v>
      </c>
      <c r="L10" s="64">
        <f t="shared" si="0"/>
        <v>-3.125E-2</v>
      </c>
      <c r="M10" s="64">
        <f t="shared" si="0"/>
        <v>8.9285714285713969E-3</v>
      </c>
      <c r="N10" s="64">
        <f>N8/I8-1</f>
        <v>-1.2012012012011963E-2</v>
      </c>
      <c r="O10" s="311"/>
      <c r="P10" s="64">
        <f t="shared" ref="P10" si="1">P8/J8-1</f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311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Z10" s="64">
        <v>-8.8888888888888906E-2</v>
      </c>
      <c r="AA10" s="311">
        <v>-3.9112050739957716E-2</v>
      </c>
      <c r="AB10" s="64">
        <v>9.2307692307691536E-3</v>
      </c>
      <c r="AC10" s="23">
        <v>-2.6750590086546011E-2</v>
      </c>
    </row>
    <row r="11" spans="1:29" ht="5.25" customHeight="1">
      <c r="A11" s="328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</row>
    <row r="12" spans="1:29">
      <c r="A12" s="60" t="s">
        <v>429</v>
      </c>
      <c r="B12" s="70" t="s">
        <v>38</v>
      </c>
      <c r="C12" s="70" t="s">
        <v>38</v>
      </c>
      <c r="D12" s="70" t="s">
        <v>38</v>
      </c>
      <c r="E12" s="70" t="s">
        <v>38</v>
      </c>
      <c r="F12" s="270" t="s">
        <v>35</v>
      </c>
      <c r="G12" s="70" t="s">
        <v>38</v>
      </c>
      <c r="H12" s="70" t="s">
        <v>38</v>
      </c>
      <c r="I12" s="70" t="s">
        <v>38</v>
      </c>
      <c r="J12" s="70" t="s">
        <v>38</v>
      </c>
      <c r="K12" s="270" t="s">
        <v>35</v>
      </c>
      <c r="L12" s="70" t="s">
        <v>38</v>
      </c>
      <c r="M12" s="70" t="s">
        <v>38</v>
      </c>
      <c r="N12" s="70" t="s">
        <v>38</v>
      </c>
      <c r="O12" s="340" t="s">
        <v>38</v>
      </c>
      <c r="P12" s="70" t="s">
        <v>38</v>
      </c>
      <c r="Q12" s="35">
        <v>746</v>
      </c>
      <c r="R12" s="70" t="s">
        <v>38</v>
      </c>
      <c r="S12" s="70" t="s">
        <v>38</v>
      </c>
      <c r="T12" s="70" t="s">
        <v>38</v>
      </c>
      <c r="U12" s="340" t="s">
        <v>38</v>
      </c>
      <c r="V12" s="70" t="s">
        <v>38</v>
      </c>
      <c r="W12" s="35">
        <v>710</v>
      </c>
      <c r="X12" s="70" t="s">
        <v>38</v>
      </c>
      <c r="Y12" s="70" t="s">
        <v>38</v>
      </c>
      <c r="Z12" s="70" t="s">
        <v>38</v>
      </c>
      <c r="AA12" s="340" t="s">
        <v>38</v>
      </c>
      <c r="AB12" s="70" t="s">
        <v>38</v>
      </c>
      <c r="AC12" s="35">
        <v>683</v>
      </c>
    </row>
    <row r="13" spans="1:29">
      <c r="A13" s="62" t="s">
        <v>108</v>
      </c>
      <c r="B13" s="64"/>
      <c r="C13" s="64"/>
      <c r="D13" s="64"/>
      <c r="E13" s="64"/>
      <c r="F13" s="23"/>
      <c r="G13" s="64"/>
      <c r="H13" s="64"/>
      <c r="I13" s="64"/>
      <c r="J13" s="64"/>
      <c r="K13" s="23"/>
      <c r="L13" s="64"/>
      <c r="M13" s="64"/>
      <c r="N13" s="64"/>
      <c r="O13" s="311"/>
      <c r="P13" s="64"/>
      <c r="Q13" s="23">
        <v>0.55713218820014931</v>
      </c>
      <c r="R13" s="64"/>
      <c r="S13" s="64"/>
      <c r="T13" s="64"/>
      <c r="U13" s="311"/>
      <c r="V13" s="64"/>
      <c r="W13" s="23">
        <v>0.55861526357199054</v>
      </c>
      <c r="X13" s="64"/>
      <c r="Y13" s="64"/>
      <c r="Z13" s="64"/>
      <c r="AA13" s="311"/>
      <c r="AB13" s="64"/>
      <c r="AC13" s="23">
        <v>0.55214227970897334</v>
      </c>
    </row>
    <row r="14" spans="1:29">
      <c r="A14" s="60" t="s">
        <v>430</v>
      </c>
      <c r="B14" s="70" t="s">
        <v>38</v>
      </c>
      <c r="C14" s="70" t="s">
        <v>38</v>
      </c>
      <c r="D14" s="70" t="s">
        <v>38</v>
      </c>
      <c r="E14" s="70" t="s">
        <v>38</v>
      </c>
      <c r="F14" s="270" t="s">
        <v>35</v>
      </c>
      <c r="G14" s="70" t="s">
        <v>38</v>
      </c>
      <c r="H14" s="70" t="s">
        <v>38</v>
      </c>
      <c r="I14" s="70" t="s">
        <v>38</v>
      </c>
      <c r="J14" s="70" t="s">
        <v>38</v>
      </c>
      <c r="K14" s="270" t="s">
        <v>35</v>
      </c>
      <c r="L14" s="70" t="s">
        <v>38</v>
      </c>
      <c r="M14" s="70" t="s">
        <v>38</v>
      </c>
      <c r="N14" s="70" t="s">
        <v>38</v>
      </c>
      <c r="O14" s="340" t="s">
        <v>38</v>
      </c>
      <c r="P14" s="70" t="s">
        <v>38</v>
      </c>
      <c r="Q14" s="35">
        <v>198</v>
      </c>
      <c r="R14" s="70" t="s">
        <v>38</v>
      </c>
      <c r="S14" s="70" t="s">
        <v>38</v>
      </c>
      <c r="T14" s="70" t="s">
        <v>38</v>
      </c>
      <c r="U14" s="340" t="s">
        <v>38</v>
      </c>
      <c r="V14" s="70" t="s">
        <v>38</v>
      </c>
      <c r="W14" s="35">
        <v>181</v>
      </c>
      <c r="X14" s="70" t="s">
        <v>38</v>
      </c>
      <c r="Y14" s="70" t="s">
        <v>38</v>
      </c>
      <c r="Z14" s="70" t="s">
        <v>38</v>
      </c>
      <c r="AA14" s="340" t="s">
        <v>38</v>
      </c>
      <c r="AB14" s="70" t="s">
        <v>38</v>
      </c>
      <c r="AC14" s="35">
        <v>177</v>
      </c>
    </row>
    <row r="15" spans="1:29">
      <c r="A15" s="62" t="s">
        <v>108</v>
      </c>
      <c r="B15" s="64"/>
      <c r="C15" s="64"/>
      <c r="D15" s="64"/>
      <c r="E15" s="64"/>
      <c r="F15" s="23"/>
      <c r="G15" s="64"/>
      <c r="H15" s="64"/>
      <c r="I15" s="64"/>
      <c r="J15" s="64"/>
      <c r="K15" s="23"/>
      <c r="L15" s="64"/>
      <c r="M15" s="64"/>
      <c r="N15" s="64"/>
      <c r="O15" s="311"/>
      <c r="P15" s="64"/>
      <c r="Q15" s="23">
        <v>0.14787154592979837</v>
      </c>
      <c r="R15" s="64"/>
      <c r="S15" s="64"/>
      <c r="T15" s="64"/>
      <c r="U15" s="311"/>
      <c r="V15" s="64"/>
      <c r="W15" s="23">
        <v>0.14240755310778913</v>
      </c>
      <c r="X15" s="64"/>
      <c r="Y15" s="64"/>
      <c r="Z15" s="64"/>
      <c r="AA15" s="311"/>
      <c r="AB15" s="64"/>
      <c r="AC15" s="23">
        <v>0.14308811641067098</v>
      </c>
    </row>
    <row r="16" spans="1:29">
      <c r="A16" s="60" t="s">
        <v>431</v>
      </c>
      <c r="B16" s="64"/>
      <c r="C16" s="64"/>
      <c r="D16" s="64"/>
      <c r="E16" s="64"/>
      <c r="F16" s="270" t="s">
        <v>35</v>
      </c>
      <c r="G16" s="70" t="s">
        <v>38</v>
      </c>
      <c r="H16" s="70" t="s">
        <v>38</v>
      </c>
      <c r="I16" s="70" t="s">
        <v>38</v>
      </c>
      <c r="J16" s="70" t="s">
        <v>38</v>
      </c>
      <c r="K16" s="270" t="s">
        <v>35</v>
      </c>
      <c r="L16" s="70" t="s">
        <v>38</v>
      </c>
      <c r="M16" s="70" t="s">
        <v>38</v>
      </c>
      <c r="N16" s="70" t="s">
        <v>38</v>
      </c>
      <c r="O16" s="340" t="s">
        <v>38</v>
      </c>
      <c r="P16" s="70" t="s">
        <v>38</v>
      </c>
      <c r="Q16" s="35">
        <v>106</v>
      </c>
      <c r="R16" s="70" t="s">
        <v>38</v>
      </c>
      <c r="S16" s="70" t="s">
        <v>38</v>
      </c>
      <c r="T16" s="70" t="s">
        <v>38</v>
      </c>
      <c r="U16" s="340" t="s">
        <v>38</v>
      </c>
      <c r="V16" s="70" t="s">
        <v>38</v>
      </c>
      <c r="W16" s="35">
        <v>131</v>
      </c>
      <c r="X16" s="70" t="s">
        <v>38</v>
      </c>
      <c r="Y16" s="70" t="s">
        <v>38</v>
      </c>
      <c r="Z16" s="70" t="s">
        <v>38</v>
      </c>
      <c r="AA16" s="340" t="s">
        <v>38</v>
      </c>
      <c r="AB16" s="70" t="s">
        <v>38</v>
      </c>
      <c r="AC16" s="35">
        <v>142</v>
      </c>
    </row>
    <row r="17" spans="1:29">
      <c r="A17" s="62" t="s">
        <v>108</v>
      </c>
      <c r="B17" s="64"/>
      <c r="C17" s="64"/>
      <c r="D17" s="64"/>
      <c r="E17" s="64"/>
      <c r="F17" s="23"/>
      <c r="G17" s="64"/>
      <c r="H17" s="64"/>
      <c r="I17" s="64"/>
      <c r="J17" s="64"/>
      <c r="K17" s="23"/>
      <c r="L17" s="64"/>
      <c r="M17" s="64"/>
      <c r="N17" s="64"/>
      <c r="O17" s="311"/>
      <c r="P17" s="64"/>
      <c r="Q17" s="23">
        <v>7.9163554891710231E-2</v>
      </c>
      <c r="R17" s="64"/>
      <c r="S17" s="64"/>
      <c r="T17" s="64"/>
      <c r="U17" s="311"/>
      <c r="V17" s="64"/>
      <c r="W17" s="23">
        <v>0.10306845003933911</v>
      </c>
      <c r="X17" s="64"/>
      <c r="Y17" s="64"/>
      <c r="Z17" s="64"/>
      <c r="AA17" s="311"/>
      <c r="AB17" s="64"/>
      <c r="AC17" s="23">
        <v>0.11479385610347616</v>
      </c>
    </row>
    <row r="18" spans="1:29" ht="24" customHeight="1">
      <c r="A18" s="79" t="s">
        <v>432</v>
      </c>
      <c r="B18" s="70" t="s">
        <v>38</v>
      </c>
      <c r="C18" s="70" t="s">
        <v>38</v>
      </c>
      <c r="D18" s="70" t="s">
        <v>38</v>
      </c>
      <c r="E18" s="70" t="s">
        <v>38</v>
      </c>
      <c r="F18" s="270" t="s">
        <v>35</v>
      </c>
      <c r="G18" s="70" t="s">
        <v>38</v>
      </c>
      <c r="H18" s="70" t="s">
        <v>38</v>
      </c>
      <c r="I18" s="70" t="s">
        <v>38</v>
      </c>
      <c r="J18" s="70" t="s">
        <v>38</v>
      </c>
      <c r="K18" s="270" t="s">
        <v>35</v>
      </c>
      <c r="L18" s="70" t="s">
        <v>38</v>
      </c>
      <c r="M18" s="70" t="s">
        <v>38</v>
      </c>
      <c r="N18" s="70" t="s">
        <v>38</v>
      </c>
      <c r="O18" s="340" t="s">
        <v>38</v>
      </c>
      <c r="P18" s="70" t="s">
        <v>38</v>
      </c>
      <c r="Q18" s="35">
        <v>289</v>
      </c>
      <c r="R18" s="70" t="s">
        <v>38</v>
      </c>
      <c r="S18" s="70" t="s">
        <v>38</v>
      </c>
      <c r="T18" s="70" t="s">
        <v>38</v>
      </c>
      <c r="U18" s="340" t="s">
        <v>38</v>
      </c>
      <c r="V18" s="70" t="s">
        <v>38</v>
      </c>
      <c r="W18" s="35">
        <v>249</v>
      </c>
      <c r="X18" s="70" t="s">
        <v>38</v>
      </c>
      <c r="Y18" s="70" t="s">
        <v>38</v>
      </c>
      <c r="Z18" s="70" t="s">
        <v>38</v>
      </c>
      <c r="AA18" s="340" t="s">
        <v>38</v>
      </c>
      <c r="AB18" s="70" t="s">
        <v>38</v>
      </c>
      <c r="AC18" s="35">
        <v>235</v>
      </c>
    </row>
    <row r="19" spans="1:29">
      <c r="A19" s="62" t="s">
        <v>108</v>
      </c>
      <c r="B19" s="64"/>
      <c r="C19" s="64"/>
      <c r="D19" s="64"/>
      <c r="E19" s="64"/>
      <c r="F19" s="23"/>
      <c r="G19" s="64"/>
      <c r="H19" s="64"/>
      <c r="I19" s="64"/>
      <c r="J19" s="64"/>
      <c r="K19" s="23"/>
      <c r="L19" s="64"/>
      <c r="M19" s="64"/>
      <c r="N19" s="64"/>
      <c r="O19" s="311"/>
      <c r="P19" s="64"/>
      <c r="Q19" s="23">
        <v>0.21583271097834206</v>
      </c>
      <c r="R19" s="64"/>
      <c r="S19" s="64"/>
      <c r="T19" s="64"/>
      <c r="U19" s="311"/>
      <c r="V19" s="64"/>
      <c r="W19" s="23">
        <v>0.19590873328088121</v>
      </c>
      <c r="X19" s="64"/>
      <c r="Y19" s="64"/>
      <c r="Z19" s="64"/>
      <c r="AA19" s="311"/>
      <c r="AB19" s="64"/>
      <c r="AC19" s="23">
        <v>0.18997574777687956</v>
      </c>
    </row>
    <row r="20" spans="1:29" ht="7.5" customHeight="1">
      <c r="A20" s="328"/>
      <c r="B20" s="316"/>
      <c r="C20" s="316"/>
      <c r="D20" s="316"/>
      <c r="E20" s="316"/>
      <c r="F20" s="322"/>
      <c r="G20" s="316"/>
      <c r="H20" s="316"/>
      <c r="I20" s="316"/>
      <c r="J20" s="316"/>
      <c r="K20" s="322"/>
      <c r="L20" s="316"/>
      <c r="M20" s="316"/>
      <c r="N20" s="316"/>
      <c r="O20" s="316"/>
      <c r="P20" s="316"/>
      <c r="Q20" s="322"/>
      <c r="R20" s="316"/>
      <c r="S20" s="316"/>
      <c r="T20" s="316"/>
      <c r="U20" s="316"/>
      <c r="V20" s="316"/>
      <c r="W20" s="322"/>
      <c r="X20" s="316"/>
      <c r="Y20" s="316"/>
      <c r="Z20" s="316"/>
      <c r="AA20" s="316"/>
      <c r="AB20" s="316"/>
      <c r="AC20" s="322"/>
    </row>
    <row r="21" spans="1:29">
      <c r="A21" s="60" t="s">
        <v>109</v>
      </c>
      <c r="B21" s="70" t="s">
        <v>38</v>
      </c>
      <c r="C21" s="70" t="s">
        <v>38</v>
      </c>
      <c r="D21" s="70" t="s">
        <v>38</v>
      </c>
      <c r="E21" s="70" t="s">
        <v>38</v>
      </c>
      <c r="F21" s="35">
        <v>488</v>
      </c>
      <c r="G21" s="70" t="s">
        <v>38</v>
      </c>
      <c r="H21" s="70" t="s">
        <v>38</v>
      </c>
      <c r="I21" s="70" t="s">
        <v>38</v>
      </c>
      <c r="J21" s="70" t="s">
        <v>38</v>
      </c>
      <c r="K21" s="35">
        <v>468</v>
      </c>
      <c r="L21" s="70" t="s">
        <v>38</v>
      </c>
      <c r="M21" s="70" t="s">
        <v>38</v>
      </c>
      <c r="N21" s="70" t="s">
        <v>38</v>
      </c>
      <c r="O21" s="340" t="s">
        <v>38</v>
      </c>
      <c r="P21" s="70" t="s">
        <v>38</v>
      </c>
      <c r="Q21" s="35">
        <v>441</v>
      </c>
      <c r="R21" s="70" t="s">
        <v>38</v>
      </c>
      <c r="S21" s="70" t="s">
        <v>38</v>
      </c>
      <c r="T21" s="70" t="s">
        <v>38</v>
      </c>
      <c r="U21" s="340" t="s">
        <v>38</v>
      </c>
      <c r="V21" s="70" t="s">
        <v>38</v>
      </c>
      <c r="W21" s="35">
        <v>401</v>
      </c>
      <c r="X21" s="70" t="s">
        <v>38</v>
      </c>
      <c r="Y21" s="70" t="s">
        <v>38</v>
      </c>
      <c r="Z21" s="70" t="s">
        <v>38</v>
      </c>
      <c r="AA21" s="340" t="s">
        <v>38</v>
      </c>
      <c r="AB21" s="70" t="s">
        <v>38</v>
      </c>
      <c r="AC21" s="35">
        <v>372</v>
      </c>
    </row>
    <row r="22" spans="1:29">
      <c r="A22" s="62" t="s">
        <v>108</v>
      </c>
      <c r="B22" s="64"/>
      <c r="C22" s="64"/>
      <c r="D22" s="64"/>
      <c r="E22" s="64"/>
      <c r="F22" s="23">
        <f>F21/F8</f>
        <v>0.31750162654521796</v>
      </c>
      <c r="G22" s="64"/>
      <c r="H22" s="64"/>
      <c r="I22" s="64"/>
      <c r="J22" s="64"/>
      <c r="K22" s="23">
        <f>K21/K8</f>
        <v>0.3364485981308411</v>
      </c>
      <c r="L22" s="64"/>
      <c r="M22" s="64"/>
      <c r="N22" s="64"/>
      <c r="O22" s="311"/>
      <c r="P22" s="64"/>
      <c r="Q22" s="23">
        <v>0.32935026138909634</v>
      </c>
      <c r="R22" s="64"/>
      <c r="S22" s="64"/>
      <c r="T22" s="64"/>
      <c r="U22" s="311"/>
      <c r="V22" s="64"/>
      <c r="W22" s="23">
        <v>0.31549960660896931</v>
      </c>
      <c r="X22" s="64"/>
      <c r="Y22" s="64"/>
      <c r="Z22" s="64"/>
      <c r="AA22" s="311"/>
      <c r="AB22" s="64"/>
      <c r="AC22" s="23">
        <v>0.30072756669361356</v>
      </c>
    </row>
    <row r="23" spans="1:29">
      <c r="A23" s="60" t="s">
        <v>107</v>
      </c>
      <c r="B23" s="70" t="s">
        <v>38</v>
      </c>
      <c r="C23" s="70" t="s">
        <v>38</v>
      </c>
      <c r="D23" s="70" t="s">
        <v>38</v>
      </c>
      <c r="E23" s="70" t="s">
        <v>38</v>
      </c>
      <c r="F23" s="35">
        <v>1049</v>
      </c>
      <c r="G23" s="70" t="s">
        <v>38</v>
      </c>
      <c r="H23" s="70" t="s">
        <v>38</v>
      </c>
      <c r="I23" s="70" t="s">
        <v>38</v>
      </c>
      <c r="J23" s="70" t="s">
        <v>38</v>
      </c>
      <c r="K23" s="35">
        <v>923</v>
      </c>
      <c r="L23" s="70" t="s">
        <v>38</v>
      </c>
      <c r="M23" s="70" t="s">
        <v>38</v>
      </c>
      <c r="N23" s="70" t="s">
        <v>38</v>
      </c>
      <c r="O23" s="340" t="s">
        <v>38</v>
      </c>
      <c r="P23" s="70" t="s">
        <v>38</v>
      </c>
      <c r="Q23" s="35">
        <v>898</v>
      </c>
      <c r="R23" s="70" t="s">
        <v>38</v>
      </c>
      <c r="S23" s="70" t="s">
        <v>38</v>
      </c>
      <c r="T23" s="70" t="s">
        <v>38</v>
      </c>
      <c r="U23" s="340" t="s">
        <v>38</v>
      </c>
      <c r="V23" s="70" t="s">
        <v>38</v>
      </c>
      <c r="W23" s="35">
        <v>870</v>
      </c>
      <c r="X23" s="70" t="s">
        <v>38</v>
      </c>
      <c r="Y23" s="70" t="s">
        <v>38</v>
      </c>
      <c r="Z23" s="70" t="s">
        <v>38</v>
      </c>
      <c r="AA23" s="340" t="s">
        <v>38</v>
      </c>
      <c r="AB23" s="70" t="s">
        <v>38</v>
      </c>
      <c r="AC23" s="35">
        <v>865</v>
      </c>
    </row>
    <row r="24" spans="1:29">
      <c r="A24" s="62" t="s">
        <v>108</v>
      </c>
      <c r="B24" s="64"/>
      <c r="C24" s="64"/>
      <c r="D24" s="64"/>
      <c r="E24" s="64"/>
      <c r="F24" s="23">
        <f>F23/F8</f>
        <v>0.68249837345478204</v>
      </c>
      <c r="G24" s="64"/>
      <c r="H24" s="64"/>
      <c r="I24" s="64"/>
      <c r="J24" s="64"/>
      <c r="K24" s="23">
        <f>K23/K8</f>
        <v>0.66355140186915884</v>
      </c>
      <c r="L24" s="64"/>
      <c r="M24" s="64"/>
      <c r="N24" s="64"/>
      <c r="O24" s="311"/>
      <c r="P24" s="64"/>
      <c r="Q24" s="23">
        <v>0.67064973861090371</v>
      </c>
      <c r="R24" s="64"/>
      <c r="S24" s="64"/>
      <c r="T24" s="64"/>
      <c r="U24" s="311"/>
      <c r="V24" s="64"/>
      <c r="W24" s="23">
        <v>0.68450039339103064</v>
      </c>
      <c r="X24" s="64"/>
      <c r="Y24" s="64"/>
      <c r="Z24" s="64"/>
      <c r="AA24" s="311"/>
      <c r="AB24" s="64"/>
      <c r="AC24" s="23">
        <v>0.69927243330638644</v>
      </c>
    </row>
    <row r="25" spans="1:29">
      <c r="A25" s="328" t="s">
        <v>27</v>
      </c>
      <c r="B25" s="316"/>
      <c r="C25" s="316"/>
      <c r="D25" s="316"/>
      <c r="E25" s="316"/>
      <c r="F25" s="322"/>
      <c r="G25" s="316"/>
      <c r="H25" s="316"/>
      <c r="I25" s="316"/>
      <c r="J25" s="316"/>
      <c r="K25" s="322"/>
      <c r="L25" s="316"/>
      <c r="M25" s="316"/>
      <c r="N25" s="316"/>
      <c r="O25" s="316"/>
      <c r="P25" s="316"/>
      <c r="Q25" s="322"/>
      <c r="R25" s="316"/>
      <c r="S25" s="316"/>
      <c r="T25" s="316"/>
      <c r="U25" s="316"/>
      <c r="V25" s="316"/>
      <c r="W25" s="322"/>
      <c r="X25" s="316"/>
      <c r="Y25" s="316"/>
      <c r="Z25" s="316"/>
      <c r="AA25" s="316"/>
      <c r="AB25" s="316"/>
      <c r="AC25" s="322"/>
    </row>
    <row r="26" spans="1:29">
      <c r="A26" s="60" t="s">
        <v>203</v>
      </c>
      <c r="B26" s="61">
        <f>15+11+7</f>
        <v>33</v>
      </c>
      <c r="C26" s="61">
        <f>14+11+8</f>
        <v>33</v>
      </c>
      <c r="D26" s="61">
        <f>15+11+8</f>
        <v>34</v>
      </c>
      <c r="E26" s="61">
        <f>F26-D26-C26-B26</f>
        <v>35</v>
      </c>
      <c r="F26" s="35">
        <f>60+43+32</f>
        <v>135</v>
      </c>
      <c r="G26" s="61">
        <f>16+10+9+8</f>
        <v>43</v>
      </c>
      <c r="H26" s="61">
        <f>15+11+10+9</f>
        <v>45</v>
      </c>
      <c r="I26" s="61">
        <v>46</v>
      </c>
      <c r="J26" s="61">
        <f>K26-I26-H26-G26</f>
        <v>60</v>
      </c>
      <c r="K26" s="35">
        <v>194</v>
      </c>
      <c r="L26" s="61">
        <v>46</v>
      </c>
      <c r="M26" s="61">
        <v>46</v>
      </c>
      <c r="N26" s="61">
        <v>47</v>
      </c>
      <c r="O26" s="309">
        <f>N26+M26+L26</f>
        <v>139</v>
      </c>
      <c r="P26" s="61">
        <f>Q26-L26-M26-N26</f>
        <v>51</v>
      </c>
      <c r="Q26" s="35">
        <v>190</v>
      </c>
      <c r="R26" s="61">
        <v>43</v>
      </c>
      <c r="S26" s="61">
        <v>38</v>
      </c>
      <c r="T26" s="61">
        <v>42</v>
      </c>
      <c r="U26" s="309">
        <v>123</v>
      </c>
      <c r="V26" s="61">
        <v>26</v>
      </c>
      <c r="W26" s="35">
        <v>149</v>
      </c>
      <c r="X26" s="61">
        <v>49</v>
      </c>
      <c r="Y26" s="61">
        <v>46</v>
      </c>
      <c r="Z26" s="61">
        <v>38</v>
      </c>
      <c r="AA26" s="309">
        <v>133</v>
      </c>
      <c r="AB26" s="61">
        <v>40</v>
      </c>
      <c r="AC26" s="35">
        <v>173</v>
      </c>
    </row>
    <row r="27" spans="1:29" ht="9.75" customHeight="1">
      <c r="A27" s="72" t="s">
        <v>7</v>
      </c>
      <c r="B27" s="63"/>
      <c r="C27" s="63">
        <f>C26/B26-1</f>
        <v>0</v>
      </c>
      <c r="D27" s="63">
        <f>D26/C26-1</f>
        <v>3.0303030303030276E-2</v>
      </c>
      <c r="E27" s="63">
        <f>E26/D26-1</f>
        <v>2.9411764705882248E-2</v>
      </c>
      <c r="F27" s="23"/>
      <c r="G27" s="63">
        <f>G26/E26-1</f>
        <v>0.22857142857142865</v>
      </c>
      <c r="H27" s="63">
        <f>H26/G26-1</f>
        <v>4.6511627906976827E-2</v>
      </c>
      <c r="I27" s="63">
        <f>I26/H26-1</f>
        <v>2.2222222222222143E-2</v>
      </c>
      <c r="J27" s="63">
        <f>J26/I26-1</f>
        <v>0.30434782608695654</v>
      </c>
      <c r="K27" s="23"/>
      <c r="L27" s="63">
        <f>L26/J26-1</f>
        <v>-0.23333333333333328</v>
      </c>
      <c r="M27" s="63">
        <f>M26/L26-1</f>
        <v>0</v>
      </c>
      <c r="N27" s="63">
        <f>N26/M26-1</f>
        <v>2.1739130434782705E-2</v>
      </c>
      <c r="O27" s="310"/>
      <c r="P27" s="63">
        <f>P26/N26-1</f>
        <v>8.5106382978723305E-2</v>
      </c>
      <c r="Q27" s="23"/>
      <c r="R27" s="63">
        <v>-0.15686274509803921</v>
      </c>
      <c r="S27" s="63">
        <v>-0.11627906976744184</v>
      </c>
      <c r="T27" s="63">
        <v>0.10526315789473695</v>
      </c>
      <c r="U27" s="310"/>
      <c r="V27" s="63">
        <v>-0.38095238095238093</v>
      </c>
      <c r="W27" s="23"/>
      <c r="X27" s="63">
        <v>0.88461538461538458</v>
      </c>
      <c r="Y27" s="63">
        <v>-6.1224489795918324E-2</v>
      </c>
      <c r="Z27" s="63">
        <v>-0.17391304347826086</v>
      </c>
      <c r="AA27" s="310"/>
      <c r="AB27" s="63">
        <v>5.2631578947368363E-2</v>
      </c>
      <c r="AC27" s="23"/>
    </row>
    <row r="28" spans="1:29" ht="11.25" customHeight="1">
      <c r="A28" s="72" t="s">
        <v>8</v>
      </c>
      <c r="B28" s="64"/>
      <c r="C28" s="64"/>
      <c r="D28" s="64"/>
      <c r="E28" s="64"/>
      <c r="F28" s="23"/>
      <c r="G28" s="64">
        <f t="shared" ref="G28:N28" si="2">G26/B26-1</f>
        <v>0.30303030303030298</v>
      </c>
      <c r="H28" s="64">
        <f t="shared" si="2"/>
        <v>0.36363636363636354</v>
      </c>
      <c r="I28" s="64">
        <f t="shared" si="2"/>
        <v>0.35294117647058831</v>
      </c>
      <c r="J28" s="64">
        <f t="shared" si="2"/>
        <v>0.71428571428571419</v>
      </c>
      <c r="K28" s="23">
        <f t="shared" si="2"/>
        <v>0.43703703703703711</v>
      </c>
      <c r="L28" s="64">
        <f t="shared" si="2"/>
        <v>6.9767441860465018E-2</v>
      </c>
      <c r="M28" s="64">
        <f t="shared" si="2"/>
        <v>2.2222222222222143E-2</v>
      </c>
      <c r="N28" s="64">
        <f t="shared" si="2"/>
        <v>2.1739130434782705E-2</v>
      </c>
      <c r="O28" s="311"/>
      <c r="P28" s="64">
        <f t="shared" ref="P28" si="3">P26/J26-1</f>
        <v>-0.15000000000000002</v>
      </c>
      <c r="Q28" s="23">
        <v>-2.0618556701030966E-2</v>
      </c>
      <c r="R28" s="64">
        <v>-6.5217391304347783E-2</v>
      </c>
      <c r="S28" s="64">
        <v>-0.17391304347826086</v>
      </c>
      <c r="T28" s="64">
        <v>-0.1063829787234043</v>
      </c>
      <c r="U28" s="311">
        <v>-0.1151079136690647</v>
      </c>
      <c r="V28" s="64">
        <v>-0.49019607843137258</v>
      </c>
      <c r="W28" s="23">
        <v>-0.21578947368421053</v>
      </c>
      <c r="X28" s="64">
        <v>0.13953488372093026</v>
      </c>
      <c r="Y28" s="64">
        <v>0.21052631578947367</v>
      </c>
      <c r="Z28" s="64">
        <v>-9.5238095238095233E-2</v>
      </c>
      <c r="AA28" s="311">
        <v>8.1300813008130079E-2</v>
      </c>
      <c r="AB28" s="64">
        <v>0.53846153846153855</v>
      </c>
      <c r="AC28" s="23">
        <v>0.16107382550335569</v>
      </c>
    </row>
    <row r="29" spans="1:29">
      <c r="A29" s="60" t="s">
        <v>69</v>
      </c>
      <c r="B29" s="61">
        <v>84</v>
      </c>
      <c r="C29" s="61">
        <v>81</v>
      </c>
      <c r="D29" s="61">
        <v>81</v>
      </c>
      <c r="E29" s="61">
        <f>F29-D29-C29-B29</f>
        <v>82</v>
      </c>
      <c r="F29" s="35">
        <v>328</v>
      </c>
      <c r="G29" s="61">
        <v>84</v>
      </c>
      <c r="H29" s="61">
        <v>75</v>
      </c>
      <c r="I29" s="61">
        <v>71</v>
      </c>
      <c r="J29" s="61">
        <f>K29-I29-H29-G29</f>
        <v>70</v>
      </c>
      <c r="K29" s="35">
        <v>300</v>
      </c>
      <c r="L29" s="61">
        <v>68</v>
      </c>
      <c r="M29" s="61">
        <v>67</v>
      </c>
      <c r="N29" s="61">
        <v>64</v>
      </c>
      <c r="O29" s="309">
        <f>N29+M29+L29</f>
        <v>199</v>
      </c>
      <c r="P29" s="61">
        <f>Q29-L29-M29-N29</f>
        <v>62</v>
      </c>
      <c r="Q29" s="35">
        <v>261</v>
      </c>
      <c r="R29" s="61">
        <v>64</v>
      </c>
      <c r="S29" s="61">
        <v>62</v>
      </c>
      <c r="T29" s="61">
        <v>63</v>
      </c>
      <c r="U29" s="309">
        <v>189</v>
      </c>
      <c r="V29" s="61">
        <v>59</v>
      </c>
      <c r="W29" s="35">
        <v>248</v>
      </c>
      <c r="X29" s="61">
        <v>60</v>
      </c>
      <c r="Y29" s="61">
        <v>58</v>
      </c>
      <c r="Z29" s="61">
        <v>59</v>
      </c>
      <c r="AA29" s="309">
        <v>177</v>
      </c>
      <c r="AB29" s="61">
        <v>60</v>
      </c>
      <c r="AC29" s="35">
        <v>237</v>
      </c>
    </row>
    <row r="30" spans="1:29" ht="11.25" customHeight="1">
      <c r="A30" s="62" t="s">
        <v>7</v>
      </c>
      <c r="B30" s="63"/>
      <c r="C30" s="63">
        <f>C29/B29-1</f>
        <v>-3.5714285714285698E-2</v>
      </c>
      <c r="D30" s="63">
        <f>D29/C29-1</f>
        <v>0</v>
      </c>
      <c r="E30" s="63">
        <f>E29/D29-1</f>
        <v>1.2345679012345734E-2</v>
      </c>
      <c r="F30" s="23"/>
      <c r="G30" s="63">
        <f>G29/E29-1</f>
        <v>2.4390243902439046E-2</v>
      </c>
      <c r="H30" s="63">
        <f>H29/G29-1</f>
        <v>-0.1071428571428571</v>
      </c>
      <c r="I30" s="63">
        <f>I29/H29-1</f>
        <v>-5.3333333333333344E-2</v>
      </c>
      <c r="J30" s="63">
        <f>J29/I29-1</f>
        <v>-1.4084507042253502E-2</v>
      </c>
      <c r="K30" s="23"/>
      <c r="L30" s="63">
        <f>L29/J29-1</f>
        <v>-2.8571428571428581E-2</v>
      </c>
      <c r="M30" s="63">
        <f>M29/L29-1</f>
        <v>-1.4705882352941124E-2</v>
      </c>
      <c r="N30" s="63">
        <f>N29/M29-1</f>
        <v>-4.4776119402985093E-2</v>
      </c>
      <c r="O30" s="310"/>
      <c r="P30" s="63">
        <f>P29/N29-1</f>
        <v>-3.125E-2</v>
      </c>
      <c r="Q30" s="23"/>
      <c r="R30" s="63">
        <v>3.2258064516129004E-2</v>
      </c>
      <c r="S30" s="63">
        <v>-3.125E-2</v>
      </c>
      <c r="T30" s="63">
        <v>1.6129032258064502E-2</v>
      </c>
      <c r="U30" s="310"/>
      <c r="V30" s="63">
        <v>-6.3492063492063489E-2</v>
      </c>
      <c r="W30" s="23"/>
      <c r="X30" s="63">
        <v>1.6949152542372836E-2</v>
      </c>
      <c r="Y30" s="63">
        <v>-3.3333333333333326E-2</v>
      </c>
      <c r="Z30" s="63">
        <v>1.7241379310344751E-2</v>
      </c>
      <c r="AA30" s="310"/>
      <c r="AB30" s="63">
        <v>1.6949152542372836E-2</v>
      </c>
      <c r="AC30" s="23"/>
    </row>
    <row r="31" spans="1:29" ht="9" customHeight="1">
      <c r="A31" s="62" t="s">
        <v>8</v>
      </c>
      <c r="B31" s="64"/>
      <c r="C31" s="64"/>
      <c r="D31" s="64"/>
      <c r="E31" s="64"/>
      <c r="F31" s="23"/>
      <c r="G31" s="64">
        <f t="shared" ref="G31:N31" si="4">G29/B29-1</f>
        <v>0</v>
      </c>
      <c r="H31" s="64">
        <f t="shared" si="4"/>
        <v>-7.407407407407407E-2</v>
      </c>
      <c r="I31" s="64">
        <f t="shared" si="4"/>
        <v>-0.12345679012345678</v>
      </c>
      <c r="J31" s="64">
        <f t="shared" si="4"/>
        <v>-0.14634146341463417</v>
      </c>
      <c r="K31" s="23">
        <f t="shared" si="4"/>
        <v>-8.536585365853655E-2</v>
      </c>
      <c r="L31" s="64">
        <f t="shared" si="4"/>
        <v>-0.19047619047619047</v>
      </c>
      <c r="M31" s="64">
        <f t="shared" si="4"/>
        <v>-0.10666666666666669</v>
      </c>
      <c r="N31" s="64">
        <f t="shared" si="4"/>
        <v>-9.8591549295774628E-2</v>
      </c>
      <c r="O31" s="311"/>
      <c r="P31" s="64">
        <f t="shared" ref="P31" si="5">P29/J29-1</f>
        <v>-0.11428571428571432</v>
      </c>
      <c r="Q31" s="23">
        <v>-0.13</v>
      </c>
      <c r="R31" s="64">
        <v>-5.8823529411764719E-2</v>
      </c>
      <c r="S31" s="64">
        <v>-7.4626865671641784E-2</v>
      </c>
      <c r="T31" s="64">
        <v>-1.5625E-2</v>
      </c>
      <c r="U31" s="311">
        <v>-5.0251256281407031E-2</v>
      </c>
      <c r="V31" s="64">
        <v>-4.8387096774193505E-2</v>
      </c>
      <c r="W31" s="23">
        <v>-4.9808429118773923E-2</v>
      </c>
      <c r="X31" s="64">
        <v>-6.25E-2</v>
      </c>
      <c r="Y31" s="64">
        <v>-6.4516129032258118E-2</v>
      </c>
      <c r="Z31" s="64">
        <v>-6.3492063492063489E-2</v>
      </c>
      <c r="AA31" s="311">
        <v>-6.3492063492063489E-2</v>
      </c>
      <c r="AB31" s="64">
        <v>1.6949152542372836E-2</v>
      </c>
      <c r="AC31" s="23">
        <v>-4.435483870967738E-2</v>
      </c>
    </row>
    <row r="32" spans="1:29">
      <c r="A32" s="60" t="s">
        <v>224</v>
      </c>
      <c r="B32" s="135">
        <v>218</v>
      </c>
      <c r="C32" s="135">
        <v>247</v>
      </c>
      <c r="D32" s="135">
        <v>214</v>
      </c>
      <c r="E32" s="61">
        <f>F32-D32-C32-B32</f>
        <v>236</v>
      </c>
      <c r="F32" s="159">
        <v>915</v>
      </c>
      <c r="G32" s="135">
        <f>G8-G26-G29-G35-G39</f>
        <v>197</v>
      </c>
      <c r="H32" s="135">
        <f>H8-H26-H29-H35-H39</f>
        <v>195</v>
      </c>
      <c r="I32" s="135">
        <f>I8-I26-I29-I35-I39</f>
        <v>191</v>
      </c>
      <c r="J32" s="61">
        <f>K32-I32-H32-G32</f>
        <v>229</v>
      </c>
      <c r="K32" s="35">
        <v>812</v>
      </c>
      <c r="L32" s="135">
        <v>201</v>
      </c>
      <c r="M32" s="135">
        <v>203</v>
      </c>
      <c r="N32" s="135">
        <v>213</v>
      </c>
      <c r="O32" s="309">
        <f>N32+M32+L32</f>
        <v>617</v>
      </c>
      <c r="P32" s="61">
        <f>Q32-L32-M32-N32</f>
        <v>210</v>
      </c>
      <c r="Q32" s="35">
        <v>827</v>
      </c>
      <c r="R32" s="135">
        <v>181</v>
      </c>
      <c r="S32" s="135">
        <v>187</v>
      </c>
      <c r="T32" s="135">
        <v>203</v>
      </c>
      <c r="U32" s="309">
        <v>571</v>
      </c>
      <c r="V32" s="61">
        <v>231</v>
      </c>
      <c r="W32" s="35">
        <v>802</v>
      </c>
      <c r="X32" s="135">
        <v>211</v>
      </c>
      <c r="Y32" s="135">
        <v>191</v>
      </c>
      <c r="Z32" s="135">
        <v>179</v>
      </c>
      <c r="AA32" s="309">
        <v>581</v>
      </c>
      <c r="AB32" s="61">
        <v>218</v>
      </c>
      <c r="AC32" s="35">
        <v>799</v>
      </c>
    </row>
    <row r="33" spans="1:29">
      <c r="A33" s="62" t="s">
        <v>7</v>
      </c>
      <c r="B33" s="63"/>
      <c r="C33" s="63">
        <f>C32/B32-1</f>
        <v>0.1330275229357798</v>
      </c>
      <c r="D33" s="63">
        <f>D32/C32-1</f>
        <v>-0.1336032388663968</v>
      </c>
      <c r="E33" s="63">
        <f>E32/D32-1</f>
        <v>0.10280373831775691</v>
      </c>
      <c r="F33" s="23"/>
      <c r="G33" s="63">
        <f>G32/E32-1</f>
        <v>-0.1652542372881356</v>
      </c>
      <c r="H33" s="63">
        <f>H32/G32-1</f>
        <v>-1.0152284263959421E-2</v>
      </c>
      <c r="I33" s="63">
        <f>I32/H32-1</f>
        <v>-2.0512820512820551E-2</v>
      </c>
      <c r="J33" s="63">
        <f>J32/I32-1</f>
        <v>0.19895287958115193</v>
      </c>
      <c r="K33" s="23"/>
      <c r="L33" s="63">
        <f>L32/J32-1</f>
        <v>-0.12227074235807855</v>
      </c>
      <c r="M33" s="63">
        <f>M32/L32-1</f>
        <v>9.9502487562188602E-3</v>
      </c>
      <c r="N33" s="63">
        <f>N32/M32-1</f>
        <v>4.9261083743842304E-2</v>
      </c>
      <c r="O33" s="310"/>
      <c r="P33" s="63">
        <f>P32/N32-1</f>
        <v>-1.4084507042253502E-2</v>
      </c>
      <c r="Q33" s="23"/>
      <c r="R33" s="63">
        <v>-0.13809523809523805</v>
      </c>
      <c r="S33" s="63">
        <v>3.3149171270718147E-2</v>
      </c>
      <c r="T33" s="63">
        <v>8.5561497326203106E-2</v>
      </c>
      <c r="U33" s="310"/>
      <c r="V33" s="63">
        <v>0.13793103448275867</v>
      </c>
      <c r="W33" s="23"/>
      <c r="X33" s="63">
        <v>-8.6580086580086535E-2</v>
      </c>
      <c r="Y33" s="63">
        <v>-9.4786729857819885E-2</v>
      </c>
      <c r="Z33" s="63">
        <v>-6.2827225130890008E-2</v>
      </c>
      <c r="AA33" s="310"/>
      <c r="AB33" s="63">
        <v>0.21787709497206698</v>
      </c>
      <c r="AC33" s="23"/>
    </row>
    <row r="34" spans="1:29">
      <c r="A34" s="62" t="s">
        <v>8</v>
      </c>
      <c r="B34" s="64"/>
      <c r="C34" s="64"/>
      <c r="D34" s="64"/>
      <c r="E34" s="64"/>
      <c r="F34" s="23"/>
      <c r="G34" s="64">
        <f t="shared" ref="G34:N34" si="6">G32/B32-1</f>
        <v>-9.6330275229357776E-2</v>
      </c>
      <c r="H34" s="64">
        <f t="shared" si="6"/>
        <v>-0.21052631578947367</v>
      </c>
      <c r="I34" s="64">
        <f t="shared" si="6"/>
        <v>-0.10747663551401865</v>
      </c>
      <c r="J34" s="64">
        <f t="shared" si="6"/>
        <v>-2.9661016949152574E-2</v>
      </c>
      <c r="K34" s="23">
        <f t="shared" si="6"/>
        <v>-0.11256830601092893</v>
      </c>
      <c r="L34" s="64">
        <f t="shared" si="6"/>
        <v>2.0304568527918843E-2</v>
      </c>
      <c r="M34" s="64">
        <f t="shared" si="6"/>
        <v>4.1025641025641102E-2</v>
      </c>
      <c r="N34" s="64">
        <f t="shared" si="6"/>
        <v>0.11518324607329844</v>
      </c>
      <c r="O34" s="311"/>
      <c r="P34" s="64">
        <f t="shared" ref="P34" si="7">P32/J32-1</f>
        <v>-8.2969432314410452E-2</v>
      </c>
      <c r="Q34" s="23">
        <v>1.8472906403940836E-2</v>
      </c>
      <c r="R34" s="64">
        <v>-9.9502487562189046E-2</v>
      </c>
      <c r="S34" s="64">
        <v>-7.8817733990147798E-2</v>
      </c>
      <c r="T34" s="64">
        <v>-4.6948356807511749E-2</v>
      </c>
      <c r="U34" s="311">
        <v>-7.4554294975688773E-2</v>
      </c>
      <c r="V34" s="64">
        <v>0.10000000000000009</v>
      </c>
      <c r="W34" s="23">
        <v>-3.0229746070132957E-2</v>
      </c>
      <c r="X34" s="64">
        <v>0.16574585635359118</v>
      </c>
      <c r="Y34" s="64">
        <v>2.1390374331550888E-2</v>
      </c>
      <c r="Z34" s="64">
        <v>-0.11822660098522164</v>
      </c>
      <c r="AA34" s="311">
        <v>1.7513134851138368E-2</v>
      </c>
      <c r="AB34" s="64">
        <v>-5.6277056277056259E-2</v>
      </c>
      <c r="AC34" s="23">
        <v>-3.7406483790524137E-3</v>
      </c>
    </row>
    <row r="35" spans="1:29">
      <c r="A35" s="60" t="s">
        <v>72</v>
      </c>
      <c r="B35" s="61">
        <v>0</v>
      </c>
      <c r="C35" s="135">
        <v>1</v>
      </c>
      <c r="D35" s="135">
        <v>-1</v>
      </c>
      <c r="E35" s="61">
        <v>3</v>
      </c>
      <c r="F35" s="159">
        <v>3</v>
      </c>
      <c r="G35" s="135">
        <v>2</v>
      </c>
      <c r="H35" s="135">
        <v>-1</v>
      </c>
      <c r="I35" s="135">
        <v>2</v>
      </c>
      <c r="J35" s="135">
        <f>K35-I35-H35-G35</f>
        <v>5</v>
      </c>
      <c r="K35" s="159">
        <v>8</v>
      </c>
      <c r="L35" s="61">
        <v>0</v>
      </c>
      <c r="M35" s="135">
        <v>16</v>
      </c>
      <c r="N35" s="135">
        <v>45</v>
      </c>
      <c r="O35" s="312">
        <f>N35+M35+L35</f>
        <v>61</v>
      </c>
      <c r="P35" s="61">
        <f>Q35-L35-M35-N35</f>
        <v>196</v>
      </c>
      <c r="Q35" s="159">
        <v>257</v>
      </c>
      <c r="R35" s="66">
        <v>0</v>
      </c>
      <c r="S35" s="66">
        <v>0</v>
      </c>
      <c r="T35" s="66">
        <v>282</v>
      </c>
      <c r="U35" s="312">
        <v>282</v>
      </c>
      <c r="V35" s="61">
        <v>31</v>
      </c>
      <c r="W35" s="159">
        <v>313</v>
      </c>
      <c r="X35" s="66">
        <v>0</v>
      </c>
      <c r="Y35" s="165">
        <v>-1</v>
      </c>
      <c r="Z35" s="165">
        <v>-2</v>
      </c>
      <c r="AA35" s="312">
        <v>-3</v>
      </c>
      <c r="AB35" s="61">
        <v>9</v>
      </c>
      <c r="AC35" s="159">
        <v>6</v>
      </c>
    </row>
    <row r="36" spans="1:29" ht="12.75" customHeight="1">
      <c r="B36" s="3"/>
      <c r="C36" s="3"/>
      <c r="D36" s="3"/>
      <c r="E36" s="3"/>
      <c r="F36" s="35"/>
      <c r="G36" s="3"/>
      <c r="H36" s="3"/>
      <c r="I36" s="3"/>
      <c r="J36" s="3"/>
      <c r="K36" s="35"/>
      <c r="L36" s="3"/>
      <c r="M36" s="3"/>
      <c r="N36" s="3"/>
      <c r="O36" s="323"/>
      <c r="P36" s="3"/>
      <c r="Q36" s="35"/>
      <c r="R36" s="3"/>
      <c r="S36" s="3"/>
      <c r="T36" s="3"/>
      <c r="U36" s="323"/>
      <c r="V36" s="3"/>
      <c r="W36" s="35"/>
      <c r="X36" s="3"/>
      <c r="Y36" s="3"/>
      <c r="Z36" s="3"/>
      <c r="AA36" s="323"/>
      <c r="AB36" s="3"/>
      <c r="AC36" s="35"/>
    </row>
    <row r="37" spans="1:29" ht="12.75" customHeight="1">
      <c r="A37" s="2" t="s">
        <v>357</v>
      </c>
      <c r="B37" s="3"/>
      <c r="C37" s="3"/>
      <c r="D37" s="3"/>
      <c r="E37" s="3"/>
      <c r="F37" s="35">
        <f>F35+F32+F29+F26</f>
        <v>1381</v>
      </c>
      <c r="G37" s="3"/>
      <c r="H37" s="3"/>
      <c r="I37" s="3"/>
      <c r="J37" s="3"/>
      <c r="K37" s="35">
        <f>K35+K32+K29+K26</f>
        <v>1314</v>
      </c>
      <c r="L37" s="278">
        <f>L35+L32+L29+L26</f>
        <v>315</v>
      </c>
      <c r="M37" s="278">
        <f>M35+M32+M29+M26</f>
        <v>332</v>
      </c>
      <c r="N37" s="278">
        <f>N35+N32+N29+N26</f>
        <v>369</v>
      </c>
      <c r="O37" s="309">
        <f>N37+M37+L37</f>
        <v>1016</v>
      </c>
      <c r="P37" s="278">
        <f>Q37-N37-M37-L37</f>
        <v>519</v>
      </c>
      <c r="Q37" s="35">
        <v>1535</v>
      </c>
      <c r="R37" s="278">
        <v>288</v>
      </c>
      <c r="S37" s="278">
        <v>287</v>
      </c>
      <c r="T37" s="278">
        <v>590</v>
      </c>
      <c r="U37" s="309">
        <v>1165</v>
      </c>
      <c r="V37" s="278">
        <v>347</v>
      </c>
      <c r="W37" s="35">
        <v>1512</v>
      </c>
      <c r="X37" s="278">
        <v>320</v>
      </c>
      <c r="Y37" s="278">
        <v>294</v>
      </c>
      <c r="Z37" s="278">
        <v>274</v>
      </c>
      <c r="AA37" s="309">
        <v>888</v>
      </c>
      <c r="AB37" s="278">
        <v>327</v>
      </c>
      <c r="AC37" s="35">
        <v>1215</v>
      </c>
    </row>
    <row r="38" spans="1:29" ht="7.5" customHeight="1">
      <c r="A38" s="328"/>
      <c r="B38" s="316"/>
      <c r="C38" s="316"/>
      <c r="D38" s="316"/>
      <c r="E38" s="316"/>
      <c r="F38" s="322"/>
      <c r="G38" s="316"/>
      <c r="H38" s="316"/>
      <c r="I38" s="316"/>
      <c r="J38" s="316"/>
      <c r="K38" s="322"/>
      <c r="L38" s="316"/>
      <c r="M38" s="316"/>
      <c r="N38" s="316"/>
      <c r="O38" s="316"/>
      <c r="P38" s="316"/>
      <c r="Q38" s="322"/>
      <c r="R38" s="316"/>
      <c r="S38" s="316"/>
      <c r="T38" s="316"/>
      <c r="U38" s="316"/>
      <c r="V38" s="316"/>
      <c r="W38" s="322"/>
      <c r="X38" s="316"/>
      <c r="Y38" s="316"/>
      <c r="Z38" s="316"/>
      <c r="AA38" s="316"/>
      <c r="AB38" s="316"/>
      <c r="AC38" s="322"/>
    </row>
    <row r="39" spans="1:29">
      <c r="A39" s="60" t="s">
        <v>204</v>
      </c>
      <c r="B39" s="61">
        <v>49</v>
      </c>
      <c r="C39" s="61">
        <v>45</v>
      </c>
      <c r="D39" s="61">
        <v>39</v>
      </c>
      <c r="E39" s="61">
        <f>F39-D39-C39-B39</f>
        <v>23</v>
      </c>
      <c r="F39" s="35">
        <v>156</v>
      </c>
      <c r="G39" s="61">
        <v>26</v>
      </c>
      <c r="H39" s="61">
        <v>22</v>
      </c>
      <c r="I39" s="61">
        <v>23</v>
      </c>
      <c r="J39" s="135">
        <f>K39-I39-H39-G39</f>
        <v>6</v>
      </c>
      <c r="K39" s="35">
        <f>K8-K26-K29-K32-K35</f>
        <v>77</v>
      </c>
      <c r="L39" s="61">
        <f>L8-L26-L29-L32-L35</f>
        <v>26</v>
      </c>
      <c r="M39" s="61">
        <f>M8-M26-M29-M32-M35</f>
        <v>7</v>
      </c>
      <c r="N39" s="165">
        <f>N8-N26-N29-N32-N35</f>
        <v>-40</v>
      </c>
      <c r="O39" s="312">
        <f>N39+M39+L39</f>
        <v>-7</v>
      </c>
      <c r="P39" s="165">
        <f>Q39-L39-M39-N39</f>
        <v>-189</v>
      </c>
      <c r="Q39" s="159">
        <v>-196</v>
      </c>
      <c r="R39" s="61">
        <v>29</v>
      </c>
      <c r="S39" s="61">
        <v>27</v>
      </c>
      <c r="T39" s="165">
        <v>-275</v>
      </c>
      <c r="U39" s="312">
        <v>-219</v>
      </c>
      <c r="V39" s="165">
        <v>-22</v>
      </c>
      <c r="W39" s="159">
        <v>-241</v>
      </c>
      <c r="X39" s="165">
        <v>-8</v>
      </c>
      <c r="Y39" s="61">
        <v>16</v>
      </c>
      <c r="Z39" s="165">
        <v>13</v>
      </c>
      <c r="AA39" s="312">
        <v>21</v>
      </c>
      <c r="AB39" s="165">
        <v>1</v>
      </c>
      <c r="AC39" s="159">
        <v>22</v>
      </c>
    </row>
    <row r="40" spans="1:29">
      <c r="A40" s="62" t="s">
        <v>7</v>
      </c>
      <c r="B40" s="63"/>
      <c r="C40" s="63">
        <f>C39/B39-1</f>
        <v>-8.1632653061224469E-2</v>
      </c>
      <c r="D40" s="63">
        <f>D39/C39-1</f>
        <v>-0.1333333333333333</v>
      </c>
      <c r="E40" s="63">
        <f>E39/D39-1</f>
        <v>-0.41025641025641024</v>
      </c>
      <c r="F40" s="23"/>
      <c r="G40" s="63">
        <f>G39/E39-1</f>
        <v>0.13043478260869557</v>
      </c>
      <c r="H40" s="63">
        <f>H39/G39-1</f>
        <v>-0.15384615384615385</v>
      </c>
      <c r="I40" s="63">
        <f>I39/H39-1</f>
        <v>4.5454545454545414E-2</v>
      </c>
      <c r="J40" s="63">
        <f>J39/I39-1</f>
        <v>-0.73913043478260865</v>
      </c>
      <c r="K40" s="23"/>
      <c r="L40" s="63">
        <f>L39/J39-1</f>
        <v>3.333333333333333</v>
      </c>
      <c r="M40" s="63">
        <f>M39/L39-1</f>
        <v>-0.73076923076923084</v>
      </c>
      <c r="N40" s="75" t="s">
        <v>34</v>
      </c>
      <c r="O40" s="313"/>
      <c r="P40" s="63">
        <f>P39/N39-1</f>
        <v>3.7249999999999996</v>
      </c>
      <c r="Q40" s="23"/>
      <c r="R40" s="63">
        <v>-1.1534391534391535</v>
      </c>
      <c r="S40" s="63">
        <v>-6.8965517241379337E-2</v>
      </c>
      <c r="T40" s="75" t="s">
        <v>34</v>
      </c>
      <c r="U40" s="313"/>
      <c r="V40" s="63">
        <v>-0.92</v>
      </c>
      <c r="W40" s="23"/>
      <c r="X40" s="63">
        <v>-0.63636363636363635</v>
      </c>
      <c r="Y40" s="75" t="s">
        <v>34</v>
      </c>
      <c r="Z40" s="63">
        <v>-0.1875</v>
      </c>
      <c r="AA40" s="313"/>
      <c r="AB40" s="63">
        <v>-0.92307692307692313</v>
      </c>
      <c r="AC40" s="23"/>
    </row>
    <row r="41" spans="1:29">
      <c r="A41" s="62" t="s">
        <v>8</v>
      </c>
      <c r="B41" s="64"/>
      <c r="C41" s="64"/>
      <c r="D41" s="64"/>
      <c r="E41" s="64"/>
      <c r="F41" s="23"/>
      <c r="G41" s="64">
        <f t="shared" ref="G41:M41" si="8">G39/B39-1</f>
        <v>-0.46938775510204078</v>
      </c>
      <c r="H41" s="64">
        <f t="shared" si="8"/>
        <v>-0.51111111111111107</v>
      </c>
      <c r="I41" s="64">
        <f t="shared" si="8"/>
        <v>-0.41025641025641024</v>
      </c>
      <c r="J41" s="64">
        <f t="shared" si="8"/>
        <v>-0.73913043478260865</v>
      </c>
      <c r="K41" s="23">
        <f t="shared" si="8"/>
        <v>-0.50641025641025639</v>
      </c>
      <c r="L41" s="64">
        <f t="shared" si="8"/>
        <v>0</v>
      </c>
      <c r="M41" s="64">
        <f t="shared" si="8"/>
        <v>-0.68181818181818188</v>
      </c>
      <c r="N41" s="75" t="s">
        <v>34</v>
      </c>
      <c r="O41" s="313"/>
      <c r="P41" s="75" t="s">
        <v>34</v>
      </c>
      <c r="Q41" s="82" t="s">
        <v>34</v>
      </c>
      <c r="R41" s="64">
        <v>0.11538461538461542</v>
      </c>
      <c r="S41" s="64">
        <v>2.8571428571428572</v>
      </c>
      <c r="T41" s="64">
        <v>5.875</v>
      </c>
      <c r="U41" s="313" t="s">
        <v>34</v>
      </c>
      <c r="V41" s="64">
        <v>-0.8835978835978836</v>
      </c>
      <c r="W41" s="23">
        <v>0.22959183673469385</v>
      </c>
      <c r="X41" s="75" t="s">
        <v>34</v>
      </c>
      <c r="Y41" s="64">
        <v>-0.40740740740740744</v>
      </c>
      <c r="Z41" s="75" t="s">
        <v>34</v>
      </c>
      <c r="AA41" s="313" t="s">
        <v>34</v>
      </c>
      <c r="AB41" s="75" t="s">
        <v>34</v>
      </c>
      <c r="AC41" s="82" t="s">
        <v>34</v>
      </c>
    </row>
    <row r="42" spans="1:29">
      <c r="A42" s="60" t="s">
        <v>260</v>
      </c>
      <c r="B42" s="61">
        <v>36</v>
      </c>
      <c r="C42" s="61">
        <v>33</v>
      </c>
      <c r="D42" s="61">
        <v>27</v>
      </c>
      <c r="E42" s="61">
        <f>F42-D42-C42-B42</f>
        <v>19</v>
      </c>
      <c r="F42" s="35">
        <v>115</v>
      </c>
      <c r="G42" s="61">
        <v>18</v>
      </c>
      <c r="H42" s="61">
        <v>14</v>
      </c>
      <c r="I42" s="61">
        <v>14</v>
      </c>
      <c r="J42" s="135">
        <f>K42-I42-H42-G42</f>
        <v>5</v>
      </c>
      <c r="K42" s="35">
        <v>51</v>
      </c>
      <c r="L42" s="61">
        <v>20</v>
      </c>
      <c r="M42" s="61">
        <v>4</v>
      </c>
      <c r="N42" s="165">
        <v>-32</v>
      </c>
      <c r="O42" s="312">
        <f>N42+M42+L42</f>
        <v>-8</v>
      </c>
      <c r="P42" s="165">
        <f>Q42-L42-M42-N42</f>
        <v>-149</v>
      </c>
      <c r="Q42" s="159">
        <v>-157</v>
      </c>
      <c r="R42" s="61">
        <v>22</v>
      </c>
      <c r="S42" s="61">
        <v>21</v>
      </c>
      <c r="T42" s="165">
        <v>-305</v>
      </c>
      <c r="U42" s="312">
        <v>-262</v>
      </c>
      <c r="V42" s="165">
        <v>-13</v>
      </c>
      <c r="W42" s="159">
        <v>-275</v>
      </c>
      <c r="X42" s="165">
        <v>-8</v>
      </c>
      <c r="Y42" s="61">
        <v>11</v>
      </c>
      <c r="Z42" s="165">
        <v>10</v>
      </c>
      <c r="AA42" s="312">
        <v>13</v>
      </c>
      <c r="AB42" s="165">
        <v>-5</v>
      </c>
      <c r="AC42" s="159">
        <v>8</v>
      </c>
    </row>
    <row r="43" spans="1:29">
      <c r="A43" s="62" t="s">
        <v>7</v>
      </c>
      <c r="B43" s="63"/>
      <c r="C43" s="63">
        <f>C42/B42-1</f>
        <v>-8.333333333333337E-2</v>
      </c>
      <c r="D43" s="63">
        <f>D42/C42-1</f>
        <v>-0.18181818181818177</v>
      </c>
      <c r="E43" s="63">
        <f>E42/D42-1</f>
        <v>-0.29629629629629628</v>
      </c>
      <c r="F43" s="23"/>
      <c r="G43" s="63">
        <f>G42/E42-1</f>
        <v>-5.2631578947368474E-2</v>
      </c>
      <c r="H43" s="63">
        <f>H42/G42-1</f>
        <v>-0.22222222222222221</v>
      </c>
      <c r="I43" s="63">
        <f>I42/H42-1</f>
        <v>0</v>
      </c>
      <c r="J43" s="63">
        <f>J42/I42-1</f>
        <v>-0.64285714285714279</v>
      </c>
      <c r="K43" s="23"/>
      <c r="L43" s="63">
        <f>L42/J42-1</f>
        <v>3</v>
      </c>
      <c r="M43" s="63">
        <f>M42/L42-1</f>
        <v>-0.8</v>
      </c>
      <c r="N43" s="75" t="s">
        <v>34</v>
      </c>
      <c r="O43" s="313"/>
      <c r="P43" s="63">
        <f>P42/N42-1</f>
        <v>3.65625</v>
      </c>
      <c r="Q43" s="23"/>
      <c r="R43" s="63">
        <v>-1.1476510067114094</v>
      </c>
      <c r="S43" s="63">
        <v>-4.5454545454545414E-2</v>
      </c>
      <c r="T43" s="75" t="s">
        <v>34</v>
      </c>
      <c r="U43" s="313"/>
      <c r="V43" s="63">
        <v>-0.95737704918032784</v>
      </c>
      <c r="W43" s="23"/>
      <c r="X43" s="63">
        <v>-0.38461538461538458</v>
      </c>
      <c r="Y43" s="75" t="s">
        <v>34</v>
      </c>
      <c r="Z43" s="63">
        <v>-9.0909090909090939E-2</v>
      </c>
      <c r="AA43" s="313"/>
      <c r="AB43" s="75" t="s">
        <v>34</v>
      </c>
      <c r="AC43" s="23"/>
    </row>
    <row r="44" spans="1:29">
      <c r="A44" s="62" t="s">
        <v>8</v>
      </c>
      <c r="B44" s="64"/>
      <c r="C44" s="64"/>
      <c r="D44" s="64"/>
      <c r="E44" s="64"/>
      <c r="F44" s="23"/>
      <c r="G44" s="64">
        <f t="shared" ref="G44:M44" si="9">G42/B42-1</f>
        <v>-0.5</v>
      </c>
      <c r="H44" s="64">
        <f t="shared" si="9"/>
        <v>-0.57575757575757569</v>
      </c>
      <c r="I44" s="64">
        <f t="shared" si="9"/>
        <v>-0.48148148148148151</v>
      </c>
      <c r="J44" s="64">
        <f t="shared" si="9"/>
        <v>-0.73684210526315796</v>
      </c>
      <c r="K44" s="23">
        <f t="shared" si="9"/>
        <v>-0.55652173913043479</v>
      </c>
      <c r="L44" s="64">
        <f t="shared" si="9"/>
        <v>0.11111111111111116</v>
      </c>
      <c r="M44" s="64">
        <f t="shared" si="9"/>
        <v>-0.7142857142857143</v>
      </c>
      <c r="N44" s="75" t="s">
        <v>34</v>
      </c>
      <c r="O44" s="313"/>
      <c r="P44" s="75" t="s">
        <v>34</v>
      </c>
      <c r="Q44" s="82" t="s">
        <v>34</v>
      </c>
      <c r="R44" s="64">
        <v>0.10000000000000009</v>
      </c>
      <c r="S44" s="64">
        <v>4.25</v>
      </c>
      <c r="T44" s="64">
        <v>8.53125</v>
      </c>
      <c r="U44" s="313" t="s">
        <v>34</v>
      </c>
      <c r="V44" s="64">
        <v>-0.91275167785234901</v>
      </c>
      <c r="W44" s="23">
        <v>0.75159235668789814</v>
      </c>
      <c r="X44" s="75" t="s">
        <v>34</v>
      </c>
      <c r="Y44" s="64">
        <v>-0.47619047619047616</v>
      </c>
      <c r="Z44" s="75" t="s">
        <v>34</v>
      </c>
      <c r="AA44" s="313" t="s">
        <v>34</v>
      </c>
      <c r="AB44" s="64">
        <v>-0.61538461538461542</v>
      </c>
      <c r="AC44" s="82" t="s">
        <v>34</v>
      </c>
    </row>
    <row r="45" spans="1:29" ht="16.5" customHeight="1">
      <c r="A45" s="79" t="s">
        <v>356</v>
      </c>
      <c r="B45" s="61">
        <f>B42+(B35*0.77)</f>
        <v>36</v>
      </c>
      <c r="C45" s="61">
        <f>C42+(C35*0.77)</f>
        <v>33.770000000000003</v>
      </c>
      <c r="D45" s="61">
        <f>D42+(D35*0.77)</f>
        <v>26.23</v>
      </c>
      <c r="E45" s="61">
        <f>F45-D45-C45-B45</f>
        <v>21.309999999999995</v>
      </c>
      <c r="F45" s="35">
        <f>F42+(F35*0.77)</f>
        <v>117.31</v>
      </c>
      <c r="G45" s="61">
        <f>G42+(G35*0.77)</f>
        <v>19.54</v>
      </c>
      <c r="H45" s="61">
        <f>H42+(H35*0.77)</f>
        <v>13.23</v>
      </c>
      <c r="I45" s="61">
        <f>I42+(I35*0.77)</f>
        <v>15.54</v>
      </c>
      <c r="J45" s="135">
        <f>K45-I45-H45-G45</f>
        <v>8.8499999999999979</v>
      </c>
      <c r="K45" s="35">
        <f>K42+(K35*0.77)</f>
        <v>57.16</v>
      </c>
      <c r="L45" s="61">
        <f>L42+(L35*0.77)</f>
        <v>20</v>
      </c>
      <c r="M45" s="61">
        <f>M42+(M35*0.77)</f>
        <v>16.32</v>
      </c>
      <c r="N45" s="165">
        <f>N42+(N35*0.77)</f>
        <v>2.6499999999999986</v>
      </c>
      <c r="O45" s="312">
        <f>N45+M45+L45</f>
        <v>38.97</v>
      </c>
      <c r="P45" s="61">
        <f>Q45-L45-M45-N45</f>
        <v>1.9200000000000159</v>
      </c>
      <c r="Q45" s="35">
        <v>40.890000000000015</v>
      </c>
      <c r="R45" s="61">
        <v>22</v>
      </c>
      <c r="S45" s="61">
        <v>21</v>
      </c>
      <c r="T45" s="165">
        <v>-23</v>
      </c>
      <c r="U45" s="312">
        <v>20</v>
      </c>
      <c r="V45" s="61">
        <v>18</v>
      </c>
      <c r="W45" s="159">
        <v>38</v>
      </c>
      <c r="X45" s="165">
        <v>-7</v>
      </c>
      <c r="Y45" s="61">
        <v>11</v>
      </c>
      <c r="Z45" s="61">
        <v>9</v>
      </c>
      <c r="AA45" s="312">
        <v>13</v>
      </c>
      <c r="AB45" s="165">
        <v>3</v>
      </c>
      <c r="AC45" s="159">
        <v>16</v>
      </c>
    </row>
    <row r="46" spans="1:29" ht="11.25" customHeight="1">
      <c r="A46" s="62" t="s">
        <v>7</v>
      </c>
      <c r="B46" s="63"/>
      <c r="C46" s="63">
        <f>C45/B45-1</f>
        <v>-6.1944444444444358E-2</v>
      </c>
      <c r="D46" s="63">
        <f>D45/C45-1</f>
        <v>-0.22327509623926567</v>
      </c>
      <c r="E46" s="63">
        <f>E45/D45-1</f>
        <v>-0.18757148303469329</v>
      </c>
      <c r="F46" s="23"/>
      <c r="G46" s="63"/>
      <c r="H46" s="63">
        <f>H45/G45-1</f>
        <v>-0.3229273285568065</v>
      </c>
      <c r="I46" s="63">
        <f>I45/H45-1</f>
        <v>0.17460317460317443</v>
      </c>
      <c r="J46" s="63">
        <f>J45/I45-1</f>
        <v>-0.43050193050193064</v>
      </c>
      <c r="K46" s="23"/>
      <c r="L46" s="63">
        <f>L45/J45-1</f>
        <v>1.259887005649718</v>
      </c>
      <c r="M46" s="63">
        <f>M45/L45-1</f>
        <v>-0.18399999999999994</v>
      </c>
      <c r="N46" s="63">
        <f>N45/M45-1</f>
        <v>-0.83762254901960786</v>
      </c>
      <c r="O46" s="310"/>
      <c r="P46" s="75" t="s">
        <v>34</v>
      </c>
      <c r="Q46" s="23"/>
      <c r="R46" s="63">
        <v>10.458333333333238</v>
      </c>
      <c r="S46" s="63">
        <v>-4.5454545454545414E-2</v>
      </c>
      <c r="T46" s="75" t="s">
        <v>34</v>
      </c>
      <c r="U46" s="310"/>
      <c r="V46" s="75" t="s">
        <v>34</v>
      </c>
      <c r="W46" s="23"/>
      <c r="X46" s="75" t="s">
        <v>34</v>
      </c>
      <c r="Y46" s="75" t="s">
        <v>34</v>
      </c>
      <c r="Z46" s="63">
        <v>-0.18181818181818177</v>
      </c>
      <c r="AA46" s="310"/>
      <c r="AB46" s="63">
        <v>-0.66666666666666674</v>
      </c>
      <c r="AC46" s="23"/>
    </row>
    <row r="47" spans="1:29" ht="12.75" customHeight="1">
      <c r="A47" s="62" t="s">
        <v>8</v>
      </c>
      <c r="B47" s="64"/>
      <c r="C47" s="64"/>
      <c r="D47" s="64"/>
      <c r="E47" s="64"/>
      <c r="F47" s="23"/>
      <c r="G47" s="64"/>
      <c r="H47" s="64"/>
      <c r="I47" s="64"/>
      <c r="J47" s="64"/>
      <c r="K47" s="23">
        <f>K45/F45-1</f>
        <v>-0.51274401159321459</v>
      </c>
      <c r="L47" s="64">
        <f>L45/G45-1</f>
        <v>2.3541453428863823E-2</v>
      </c>
      <c r="M47" s="64">
        <f>M45/H45-1</f>
        <v>0.23356009070294781</v>
      </c>
      <c r="N47" s="64">
        <f>N45/I45-1</f>
        <v>-0.82947232947232952</v>
      </c>
      <c r="O47" s="311"/>
      <c r="P47" s="64">
        <f>P45/J45-1</f>
        <v>-0.78305084745762521</v>
      </c>
      <c r="Q47" s="23">
        <v>-0.28463960811756439</v>
      </c>
      <c r="R47" s="64">
        <v>0.10000000000000009</v>
      </c>
      <c r="S47" s="64">
        <v>0.28676470588235281</v>
      </c>
      <c r="T47" s="75" t="s">
        <v>34</v>
      </c>
      <c r="U47" s="311">
        <v>-0.4867847061842443</v>
      </c>
      <c r="V47" s="64">
        <v>8.3749999999999218</v>
      </c>
      <c r="W47" s="23">
        <v>-7.0677427243825197E-2</v>
      </c>
      <c r="X47" s="75" t="s">
        <v>34</v>
      </c>
      <c r="Y47" s="64">
        <v>-0.47619047619047616</v>
      </c>
      <c r="Z47" s="75" t="s">
        <v>34</v>
      </c>
      <c r="AA47" s="311">
        <v>-0.35</v>
      </c>
      <c r="AB47" s="64">
        <v>-0.83333333333333337</v>
      </c>
      <c r="AC47" s="23">
        <v>-0.57894736842105265</v>
      </c>
    </row>
    <row r="48" spans="1:29">
      <c r="A48" s="60" t="s">
        <v>197</v>
      </c>
      <c r="B48" s="67">
        <f>B26+B39</f>
        <v>82</v>
      </c>
      <c r="C48" s="67">
        <f>C26+C39</f>
        <v>78</v>
      </c>
      <c r="D48" s="67">
        <f>D26+D39</f>
        <v>73</v>
      </c>
      <c r="E48" s="61">
        <f>F48-D48-C48-B48</f>
        <v>58</v>
      </c>
      <c r="F48" s="35">
        <f>F26+F39</f>
        <v>291</v>
      </c>
      <c r="G48" s="67">
        <f>G26+G39</f>
        <v>69</v>
      </c>
      <c r="H48" s="67">
        <f>H26+H39</f>
        <v>67</v>
      </c>
      <c r="I48" s="67">
        <f>I26+I39</f>
        <v>69</v>
      </c>
      <c r="J48" s="135">
        <f>K48-I48-H48-G48</f>
        <v>66</v>
      </c>
      <c r="K48" s="35">
        <f>K26+K39</f>
        <v>271</v>
      </c>
      <c r="L48" s="67">
        <f>L26+L39</f>
        <v>72</v>
      </c>
      <c r="M48" s="67">
        <f>M26+M39</f>
        <v>53</v>
      </c>
      <c r="N48" s="67">
        <f>N26+N39</f>
        <v>7</v>
      </c>
      <c r="O48" s="312">
        <f>N48+M48+L48</f>
        <v>132</v>
      </c>
      <c r="P48" s="165">
        <f>Q48-L48-M48-N48</f>
        <v>-138</v>
      </c>
      <c r="Q48" s="159">
        <v>-6</v>
      </c>
      <c r="R48" s="67">
        <v>72</v>
      </c>
      <c r="S48" s="67">
        <v>65</v>
      </c>
      <c r="T48" s="165">
        <v>-233</v>
      </c>
      <c r="U48" s="312">
        <v>-96</v>
      </c>
      <c r="V48" s="165">
        <v>4</v>
      </c>
      <c r="W48" s="159">
        <v>-92</v>
      </c>
      <c r="X48" s="67">
        <v>41</v>
      </c>
      <c r="Y48" s="67">
        <v>62</v>
      </c>
      <c r="Z48" s="165">
        <v>51</v>
      </c>
      <c r="AA48" s="312">
        <v>154</v>
      </c>
      <c r="AB48" s="165">
        <v>41</v>
      </c>
      <c r="AC48" s="159">
        <v>195</v>
      </c>
    </row>
    <row r="49" spans="1:29" ht="11.25" customHeight="1">
      <c r="A49" s="62" t="s">
        <v>7</v>
      </c>
      <c r="B49" s="63"/>
      <c r="C49" s="63">
        <f>C48/B48-1</f>
        <v>-4.8780487804878092E-2</v>
      </c>
      <c r="D49" s="63">
        <f>D48/C48-1</f>
        <v>-6.4102564102564097E-2</v>
      </c>
      <c r="E49" s="63">
        <f>E48/D48-1</f>
        <v>-0.20547945205479456</v>
      </c>
      <c r="F49" s="23"/>
      <c r="G49" s="63">
        <f>G48/E48-1</f>
        <v>0.18965517241379315</v>
      </c>
      <c r="H49" s="63">
        <f>H48/G48-1</f>
        <v>-2.8985507246376829E-2</v>
      </c>
      <c r="I49" s="63">
        <f>I48/H48-1</f>
        <v>2.9850746268656803E-2</v>
      </c>
      <c r="J49" s="63">
        <f>J48/I48-1</f>
        <v>-4.3478260869565188E-2</v>
      </c>
      <c r="K49" s="23"/>
      <c r="L49" s="63">
        <f>L48/J48-1</f>
        <v>9.0909090909090828E-2</v>
      </c>
      <c r="M49" s="63">
        <f>M48/L48-1</f>
        <v>-0.26388888888888884</v>
      </c>
      <c r="N49" s="63">
        <f>N48/M48-1</f>
        <v>-0.86792452830188682</v>
      </c>
      <c r="O49" s="310"/>
      <c r="P49" s="75" t="s">
        <v>34</v>
      </c>
      <c r="Q49" s="23"/>
      <c r="R49" s="63">
        <v>-1.5217391304347827</v>
      </c>
      <c r="S49" s="63">
        <v>-9.722222222222221E-2</v>
      </c>
      <c r="T49" s="75" t="s">
        <v>34</v>
      </c>
      <c r="U49" s="310"/>
      <c r="V49" s="75" t="s">
        <v>34</v>
      </c>
      <c r="W49" s="23"/>
      <c r="X49" s="63">
        <v>9.25</v>
      </c>
      <c r="Y49" s="63">
        <v>0.51219512195121952</v>
      </c>
      <c r="Z49" s="63">
        <v>-0.17741935483870963</v>
      </c>
      <c r="AA49" s="310"/>
      <c r="AB49" s="63">
        <v>-0.19607843137254899</v>
      </c>
      <c r="AC49" s="23"/>
    </row>
    <row r="50" spans="1:29" ht="11.25" customHeight="1">
      <c r="A50" s="62" t="s">
        <v>8</v>
      </c>
      <c r="B50" s="64"/>
      <c r="C50" s="64"/>
      <c r="D50" s="64"/>
      <c r="E50" s="64"/>
      <c r="F50" s="23"/>
      <c r="G50" s="64">
        <f t="shared" ref="G50:M50" si="10">G48/B48-1</f>
        <v>-0.15853658536585369</v>
      </c>
      <c r="H50" s="64">
        <f t="shared" si="10"/>
        <v>-0.14102564102564108</v>
      </c>
      <c r="I50" s="64">
        <f t="shared" si="10"/>
        <v>-5.4794520547945202E-2</v>
      </c>
      <c r="J50" s="64">
        <f t="shared" si="10"/>
        <v>0.13793103448275867</v>
      </c>
      <c r="K50" s="23">
        <f t="shared" si="10"/>
        <v>-6.8728522336769737E-2</v>
      </c>
      <c r="L50" s="64">
        <f t="shared" si="10"/>
        <v>4.3478260869565188E-2</v>
      </c>
      <c r="M50" s="64">
        <f t="shared" si="10"/>
        <v>-0.20895522388059706</v>
      </c>
      <c r="N50" s="64">
        <f>N48/I48-1</f>
        <v>-0.89855072463768115</v>
      </c>
      <c r="O50" s="313"/>
      <c r="P50" s="75" t="s">
        <v>34</v>
      </c>
      <c r="Q50" s="23">
        <v>-1.0221402214022139</v>
      </c>
      <c r="R50" s="64">
        <v>0</v>
      </c>
      <c r="S50" s="64">
        <v>0.22641509433962259</v>
      </c>
      <c r="T50" s="75" t="s">
        <v>34</v>
      </c>
      <c r="U50" s="313" t="s">
        <v>34</v>
      </c>
      <c r="V50" s="75" t="s">
        <v>34</v>
      </c>
      <c r="W50" s="23">
        <v>14.333333333333334</v>
      </c>
      <c r="X50" s="64">
        <v>-0.43055555555555558</v>
      </c>
      <c r="Y50" s="64">
        <v>-4.6153846153846101E-2</v>
      </c>
      <c r="Z50" s="75" t="s">
        <v>34</v>
      </c>
      <c r="AA50" s="313" t="s">
        <v>34</v>
      </c>
      <c r="AB50" s="64">
        <v>9.25</v>
      </c>
      <c r="AC50" s="82" t="s">
        <v>34</v>
      </c>
    </row>
    <row r="51" spans="1:29" ht="14.25" customHeight="1">
      <c r="A51" s="79" t="s">
        <v>290</v>
      </c>
      <c r="B51" s="67">
        <f>B48</f>
        <v>82</v>
      </c>
      <c r="C51" s="67">
        <f>C48+C35</f>
        <v>79</v>
      </c>
      <c r="D51" s="67">
        <f>D48+D35</f>
        <v>72</v>
      </c>
      <c r="E51" s="135">
        <f>F51-D51-C51-B51</f>
        <v>61</v>
      </c>
      <c r="F51" s="35">
        <f>F48+F35</f>
        <v>294</v>
      </c>
      <c r="G51" s="67">
        <f>G48+G35</f>
        <v>71</v>
      </c>
      <c r="H51" s="67">
        <f>H48+H35</f>
        <v>66</v>
      </c>
      <c r="I51" s="67">
        <f>I48+I35</f>
        <v>71</v>
      </c>
      <c r="J51" s="135">
        <f>K51-I51-H51-G51</f>
        <v>71</v>
      </c>
      <c r="K51" s="35">
        <f>K48+K35</f>
        <v>279</v>
      </c>
      <c r="L51" s="67">
        <f>L48</f>
        <v>72</v>
      </c>
      <c r="M51" s="67">
        <f>M48+M35</f>
        <v>69</v>
      </c>
      <c r="N51" s="67">
        <f>N48+N35</f>
        <v>52</v>
      </c>
      <c r="O51" s="312">
        <f>N51+M51+L51</f>
        <v>193</v>
      </c>
      <c r="P51" s="61">
        <f>Q51-L51-M51-N51</f>
        <v>58</v>
      </c>
      <c r="Q51" s="35">
        <v>251</v>
      </c>
      <c r="R51" s="67">
        <v>72</v>
      </c>
      <c r="S51" s="67">
        <v>65</v>
      </c>
      <c r="T51" s="67">
        <v>49</v>
      </c>
      <c r="U51" s="312">
        <v>186</v>
      </c>
      <c r="V51" s="61">
        <v>35</v>
      </c>
      <c r="W51" s="35">
        <v>221</v>
      </c>
      <c r="X51" s="67">
        <v>42</v>
      </c>
      <c r="Y51" s="67">
        <v>62</v>
      </c>
      <c r="Z51" s="67">
        <v>50</v>
      </c>
      <c r="AA51" s="312">
        <v>154</v>
      </c>
      <c r="AB51" s="61">
        <v>49</v>
      </c>
      <c r="AC51" s="35">
        <v>203</v>
      </c>
    </row>
    <row r="52" spans="1:29" ht="10.5" customHeight="1">
      <c r="A52" s="72" t="s">
        <v>7</v>
      </c>
      <c r="B52" s="63"/>
      <c r="C52" s="63">
        <f>C51/B51-1</f>
        <v>-3.6585365853658569E-2</v>
      </c>
      <c r="D52" s="63">
        <f>D51/C51-1</f>
        <v>-8.8607594936708889E-2</v>
      </c>
      <c r="E52" s="63">
        <f>E51/D51-1</f>
        <v>-0.15277777777777779</v>
      </c>
      <c r="F52" s="23"/>
      <c r="G52" s="63">
        <f>G51/E51-1</f>
        <v>0.16393442622950816</v>
      </c>
      <c r="H52" s="63">
        <f>H51/G51-1</f>
        <v>-7.0422535211267623E-2</v>
      </c>
      <c r="I52" s="63">
        <f>I51/H51-1</f>
        <v>7.575757575757569E-2</v>
      </c>
      <c r="J52" s="63">
        <f>J51/I51-1</f>
        <v>0</v>
      </c>
      <c r="K52" s="23"/>
      <c r="L52" s="63">
        <f>L51/J51-1</f>
        <v>1.4084507042253502E-2</v>
      </c>
      <c r="M52" s="63">
        <f>M51/L51-1</f>
        <v>-4.166666666666663E-2</v>
      </c>
      <c r="N52" s="63">
        <f>N51/M51-1</f>
        <v>-0.24637681159420288</v>
      </c>
      <c r="O52" s="310"/>
      <c r="P52" s="63">
        <f>P51/N51-1</f>
        <v>0.11538461538461542</v>
      </c>
      <c r="Q52" s="23"/>
      <c r="R52" s="63">
        <v>0.24137931034482762</v>
      </c>
      <c r="S52" s="63">
        <v>-9.722222222222221E-2</v>
      </c>
      <c r="T52" s="63">
        <v>-0.24615384615384617</v>
      </c>
      <c r="U52" s="310"/>
      <c r="V52" s="63">
        <v>-0.2857142857142857</v>
      </c>
      <c r="W52" s="23"/>
      <c r="X52" s="63">
        <v>0.19999999999999996</v>
      </c>
      <c r="Y52" s="63">
        <v>0.47619047619047628</v>
      </c>
      <c r="Z52" s="63">
        <v>-0.19354838709677424</v>
      </c>
      <c r="AA52" s="310"/>
      <c r="AB52" s="63">
        <v>-2.0000000000000018E-2</v>
      </c>
      <c r="AC52" s="23"/>
    </row>
    <row r="53" spans="1:29" ht="11.25" customHeight="1">
      <c r="A53" s="72" t="s">
        <v>8</v>
      </c>
      <c r="B53" s="64"/>
      <c r="C53" s="64"/>
      <c r="D53" s="64"/>
      <c r="E53" s="64"/>
      <c r="F53" s="23"/>
      <c r="G53" s="64">
        <f t="shared" ref="G53:N53" si="11">G51/B51-1</f>
        <v>-0.13414634146341464</v>
      </c>
      <c r="H53" s="64">
        <f t="shared" si="11"/>
        <v>-0.16455696202531644</v>
      </c>
      <c r="I53" s="64">
        <f t="shared" si="11"/>
        <v>-1.388888888888884E-2</v>
      </c>
      <c r="J53" s="64">
        <f t="shared" si="11"/>
        <v>0.16393442622950816</v>
      </c>
      <c r="K53" s="23">
        <f t="shared" si="11"/>
        <v>-5.1020408163265252E-2</v>
      </c>
      <c r="L53" s="64">
        <f t="shared" si="11"/>
        <v>1.4084507042253502E-2</v>
      </c>
      <c r="M53" s="64">
        <f t="shared" si="11"/>
        <v>4.5454545454545414E-2</v>
      </c>
      <c r="N53" s="64">
        <f t="shared" si="11"/>
        <v>-0.26760563380281688</v>
      </c>
      <c r="O53" s="311"/>
      <c r="P53" s="64">
        <f t="shared" ref="P53" si="12">P51/J51-1</f>
        <v>-0.18309859154929575</v>
      </c>
      <c r="Q53" s="23">
        <v>-0.10035842293906805</v>
      </c>
      <c r="R53" s="64">
        <v>0</v>
      </c>
      <c r="S53" s="64">
        <v>-5.7971014492753659E-2</v>
      </c>
      <c r="T53" s="64">
        <v>-5.7692307692307709E-2</v>
      </c>
      <c r="U53" s="311">
        <v>-3.6269430051813489E-2</v>
      </c>
      <c r="V53" s="64">
        <v>-0.39655172413793105</v>
      </c>
      <c r="W53" s="23">
        <v>-0.11952191235059761</v>
      </c>
      <c r="X53" s="64">
        <v>-0.41666666666666663</v>
      </c>
      <c r="Y53" s="64">
        <v>-4.6153846153846101E-2</v>
      </c>
      <c r="Z53" s="64">
        <v>2.0408163265306145E-2</v>
      </c>
      <c r="AA53" s="311">
        <v>-0.17204301075268813</v>
      </c>
      <c r="AB53" s="64">
        <v>0.39999999999999991</v>
      </c>
      <c r="AC53" s="23">
        <v>-8.1447963800905021E-2</v>
      </c>
    </row>
    <row r="54" spans="1:29">
      <c r="A54" s="328" t="s">
        <v>56</v>
      </c>
      <c r="B54" s="330"/>
      <c r="C54" s="330"/>
      <c r="D54" s="330"/>
      <c r="E54" s="330"/>
      <c r="F54" s="322"/>
      <c r="G54" s="330"/>
      <c r="H54" s="330"/>
      <c r="I54" s="330"/>
      <c r="J54" s="330"/>
      <c r="K54" s="322"/>
      <c r="L54" s="330"/>
      <c r="M54" s="330"/>
      <c r="N54" s="330"/>
      <c r="O54" s="330"/>
      <c r="P54" s="330"/>
      <c r="Q54" s="322"/>
      <c r="R54" s="330"/>
      <c r="S54" s="330"/>
      <c r="T54" s="330"/>
      <c r="U54" s="330"/>
      <c r="V54" s="330"/>
      <c r="W54" s="322"/>
      <c r="X54" s="330"/>
      <c r="Y54" s="330"/>
      <c r="Z54" s="330"/>
      <c r="AA54" s="330"/>
      <c r="AB54" s="330"/>
      <c r="AC54" s="322"/>
    </row>
    <row r="55" spans="1:29">
      <c r="A55" s="60" t="s">
        <v>12</v>
      </c>
      <c r="B55" s="61">
        <v>52</v>
      </c>
      <c r="C55" s="61">
        <v>69</v>
      </c>
      <c r="D55" s="61">
        <v>74</v>
      </c>
      <c r="E55" s="61">
        <f>F55-D55-C55-B55</f>
        <v>82</v>
      </c>
      <c r="F55" s="35">
        <v>277</v>
      </c>
      <c r="G55" s="61">
        <v>67</v>
      </c>
      <c r="H55" s="61">
        <v>54</v>
      </c>
      <c r="I55" s="61">
        <v>73</v>
      </c>
      <c r="J55" s="135">
        <f>K55-I55-H55-G55</f>
        <v>106</v>
      </c>
      <c r="K55" s="35">
        <v>300</v>
      </c>
      <c r="L55" s="61">
        <v>56</v>
      </c>
      <c r="M55" s="61">
        <v>48</v>
      </c>
      <c r="N55" s="61">
        <v>64</v>
      </c>
      <c r="O55" s="312">
        <f>N55+M55+L55</f>
        <v>168</v>
      </c>
      <c r="P55" s="61">
        <f>Q55-N55-M55-L55</f>
        <v>87</v>
      </c>
      <c r="Q55" s="35">
        <v>255</v>
      </c>
      <c r="R55" s="61">
        <v>60</v>
      </c>
      <c r="S55" s="61">
        <v>48</v>
      </c>
      <c r="T55" s="61">
        <v>47</v>
      </c>
      <c r="U55" s="312">
        <v>155</v>
      </c>
      <c r="V55" s="61">
        <v>75</v>
      </c>
      <c r="W55" s="35">
        <v>230</v>
      </c>
      <c r="X55" s="61">
        <v>61</v>
      </c>
      <c r="Y55" s="61">
        <v>26</v>
      </c>
      <c r="Z55" s="61">
        <v>96</v>
      </c>
      <c r="AA55" s="312">
        <v>183</v>
      </c>
      <c r="AB55" s="165">
        <v>-52</v>
      </c>
      <c r="AC55" s="35">
        <v>131</v>
      </c>
    </row>
    <row r="56" spans="1:29" ht="10.5" customHeight="1">
      <c r="A56" s="72" t="s">
        <v>7</v>
      </c>
      <c r="B56" s="63"/>
      <c r="C56" s="63">
        <f>C55/B55-1</f>
        <v>0.32692307692307687</v>
      </c>
      <c r="D56" s="63">
        <f>D55/C55-1</f>
        <v>7.2463768115942129E-2</v>
      </c>
      <c r="E56" s="63">
        <f>E55/D55-1</f>
        <v>0.10810810810810811</v>
      </c>
      <c r="F56" s="23"/>
      <c r="G56" s="63">
        <f>G55/E55-1</f>
        <v>-0.18292682926829273</v>
      </c>
      <c r="H56" s="63">
        <f>H55/G55-1</f>
        <v>-0.19402985074626866</v>
      </c>
      <c r="I56" s="63">
        <f>I55/H55-1</f>
        <v>0.35185185185185186</v>
      </c>
      <c r="J56" s="63">
        <f>J55/I55-1</f>
        <v>0.45205479452054798</v>
      </c>
      <c r="K56" s="23"/>
      <c r="L56" s="63">
        <f>L55/J55-1</f>
        <v>-0.47169811320754718</v>
      </c>
      <c r="M56" s="63">
        <f>M55/L55-1</f>
        <v>-0.1428571428571429</v>
      </c>
      <c r="N56" s="63">
        <f>N55/M55-1</f>
        <v>0.33333333333333326</v>
      </c>
      <c r="O56" s="310"/>
      <c r="P56" s="63">
        <f>P55/N55-1</f>
        <v>0.359375</v>
      </c>
      <c r="Q56" s="23"/>
      <c r="R56" s="63">
        <v>-0.31034482758620685</v>
      </c>
      <c r="S56" s="63">
        <v>-0.19999999999999996</v>
      </c>
      <c r="T56" s="63">
        <v>-2.083333333333337E-2</v>
      </c>
      <c r="U56" s="310"/>
      <c r="V56" s="63">
        <v>0.5957446808510638</v>
      </c>
      <c r="W56" s="23"/>
      <c r="X56" s="63">
        <v>-0.18666666666666665</v>
      </c>
      <c r="Y56" s="63">
        <v>-0.57377049180327866</v>
      </c>
      <c r="Z56" s="63">
        <v>2.6923076923076925</v>
      </c>
      <c r="AA56" s="310"/>
      <c r="AB56" s="75" t="s">
        <v>34</v>
      </c>
      <c r="AC56" s="23"/>
    </row>
    <row r="57" spans="1:29" ht="10.5" customHeight="1">
      <c r="A57" s="74" t="s">
        <v>8</v>
      </c>
      <c r="B57" s="64"/>
      <c r="C57" s="64"/>
      <c r="D57" s="64"/>
      <c r="E57" s="64"/>
      <c r="F57" s="23"/>
      <c r="G57" s="64">
        <f t="shared" ref="G57:M57" si="13">G55/B55-1</f>
        <v>0.28846153846153855</v>
      </c>
      <c r="H57" s="64">
        <f t="shared" si="13"/>
        <v>-0.21739130434782605</v>
      </c>
      <c r="I57" s="64">
        <f t="shared" si="13"/>
        <v>-1.3513513513513487E-2</v>
      </c>
      <c r="J57" s="64">
        <f t="shared" si="13"/>
        <v>0.29268292682926833</v>
      </c>
      <c r="K57" s="23">
        <f t="shared" si="13"/>
        <v>8.3032490974729312E-2</v>
      </c>
      <c r="L57" s="64">
        <f t="shared" si="13"/>
        <v>-0.16417910447761197</v>
      </c>
      <c r="M57" s="64">
        <f t="shared" si="13"/>
        <v>-0.11111111111111116</v>
      </c>
      <c r="N57" s="64">
        <f>N55/I55-1</f>
        <v>-0.12328767123287676</v>
      </c>
      <c r="O57" s="311"/>
      <c r="P57" s="64">
        <f t="shared" ref="P57" si="14">P55/J55-1</f>
        <v>-0.17924528301886788</v>
      </c>
      <c r="Q57" s="23">
        <v>-0.15000000000000002</v>
      </c>
      <c r="R57" s="64">
        <v>7.1428571428571397E-2</v>
      </c>
      <c r="S57" s="64">
        <v>0</v>
      </c>
      <c r="T57" s="64">
        <v>-0.265625</v>
      </c>
      <c r="U57" s="311">
        <v>-7.7380952380952328E-2</v>
      </c>
      <c r="V57" s="64">
        <v>-0.13793103448275867</v>
      </c>
      <c r="W57" s="23">
        <v>-9.8039215686274495E-2</v>
      </c>
      <c r="X57" s="64">
        <v>1.6666666666666607E-2</v>
      </c>
      <c r="Y57" s="64">
        <v>-0.45833333333333337</v>
      </c>
      <c r="Z57" s="64">
        <v>1.0425531914893615</v>
      </c>
      <c r="AA57" s="311">
        <v>0.1806451612903226</v>
      </c>
      <c r="AB57" s="75" t="s">
        <v>34</v>
      </c>
      <c r="AC57" s="23">
        <v>-0.43043478260869561</v>
      </c>
    </row>
    <row r="58" spans="1:29">
      <c r="A58" s="60" t="s">
        <v>300</v>
      </c>
      <c r="B58" s="61">
        <f>7+13+9</f>
        <v>29</v>
      </c>
      <c r="C58" s="61">
        <f>14+13+19</f>
        <v>46</v>
      </c>
      <c r="D58" s="61">
        <f>19+7+5</f>
        <v>31</v>
      </c>
      <c r="E58" s="61">
        <f>F58-D58-C58-B58</f>
        <v>36</v>
      </c>
      <c r="F58" s="35">
        <f>57+42+43</f>
        <v>142</v>
      </c>
      <c r="G58" s="61">
        <f>8+10+13</f>
        <v>31</v>
      </c>
      <c r="H58" s="61">
        <f>14+14+16</f>
        <v>44</v>
      </c>
      <c r="I58" s="61">
        <v>26</v>
      </c>
      <c r="J58" s="135">
        <f>K58-I58-H58-G58</f>
        <v>26</v>
      </c>
      <c r="K58" s="199">
        <v>127</v>
      </c>
      <c r="L58" s="61">
        <f>7+13+13</f>
        <v>33</v>
      </c>
      <c r="M58" s="61">
        <f>15+8+11</f>
        <v>34</v>
      </c>
      <c r="N58" s="61">
        <f>10+14+16</f>
        <v>40</v>
      </c>
      <c r="O58" s="312">
        <f>N58+M58+L58</f>
        <v>107</v>
      </c>
      <c r="P58" s="61">
        <f>Q58-N58-M58-L58</f>
        <v>21</v>
      </c>
      <c r="Q58" s="35">
        <v>128</v>
      </c>
      <c r="R58" s="61">
        <v>34</v>
      </c>
      <c r="S58" s="61">
        <v>33</v>
      </c>
      <c r="T58" s="61">
        <v>28</v>
      </c>
      <c r="U58" s="312">
        <v>95</v>
      </c>
      <c r="V58" s="61">
        <v>21</v>
      </c>
      <c r="W58" s="35">
        <v>116</v>
      </c>
      <c r="X58" s="61">
        <v>30</v>
      </c>
      <c r="Y58" s="61">
        <v>28</v>
      </c>
      <c r="Z58" s="61">
        <v>27</v>
      </c>
      <c r="AA58" s="312">
        <v>85</v>
      </c>
      <c r="AB58" s="61">
        <v>15</v>
      </c>
      <c r="AC58" s="35">
        <v>100</v>
      </c>
    </row>
    <row r="59" spans="1:29" ht="10.5" customHeight="1">
      <c r="A59" s="62" t="s">
        <v>7</v>
      </c>
      <c r="B59" s="63"/>
      <c r="C59" s="63">
        <f>C58/B58-1</f>
        <v>0.5862068965517242</v>
      </c>
      <c r="D59" s="63">
        <f>D58/C58-1</f>
        <v>-0.32608695652173914</v>
      </c>
      <c r="E59" s="63">
        <f>E58/D58-1</f>
        <v>0.16129032258064524</v>
      </c>
      <c r="F59" s="23"/>
      <c r="G59" s="63">
        <f>G58/E58-1</f>
        <v>-0.13888888888888884</v>
      </c>
      <c r="H59" s="63">
        <f>H58/G58-1</f>
        <v>0.41935483870967749</v>
      </c>
      <c r="I59" s="63">
        <f>I58/H58-1</f>
        <v>-0.40909090909090906</v>
      </c>
      <c r="J59" s="63">
        <f>J58/I58-1</f>
        <v>0</v>
      </c>
      <c r="K59" s="267"/>
      <c r="L59" s="63">
        <f>L58/J58-1</f>
        <v>0.26923076923076916</v>
      </c>
      <c r="M59" s="63">
        <f>M58/L58-1</f>
        <v>3.0303030303030276E-2</v>
      </c>
      <c r="N59" s="63">
        <f>N58/M58-1</f>
        <v>0.17647058823529416</v>
      </c>
      <c r="O59" s="310"/>
      <c r="P59" s="63">
        <f>P58/N58-1</f>
        <v>-0.47499999999999998</v>
      </c>
      <c r="Q59" s="23"/>
      <c r="R59" s="63">
        <v>0.61904761904761907</v>
      </c>
      <c r="S59" s="63">
        <v>-2.9411764705882359E-2</v>
      </c>
      <c r="T59" s="63">
        <v>-0.15151515151515149</v>
      </c>
      <c r="U59" s="310"/>
      <c r="V59" s="63">
        <v>-0.25</v>
      </c>
      <c r="W59" s="23"/>
      <c r="X59" s="63">
        <v>0.4285714285714286</v>
      </c>
      <c r="Y59" s="63">
        <v>-6.6666666666666652E-2</v>
      </c>
      <c r="Z59" s="63">
        <v>-3.5714285714285698E-2</v>
      </c>
      <c r="AA59" s="310"/>
      <c r="AB59" s="63">
        <v>-0.44444444444444442</v>
      </c>
      <c r="AC59" s="23"/>
    </row>
    <row r="60" spans="1:29" ht="9.75" customHeight="1">
      <c r="A60" s="62" t="s">
        <v>8</v>
      </c>
      <c r="B60" s="64"/>
      <c r="C60" s="64"/>
      <c r="D60" s="64"/>
      <c r="E60" s="64"/>
      <c r="F60" s="23"/>
      <c r="G60" s="64">
        <f t="shared" ref="G60:L60" si="15">G58/B58-1</f>
        <v>6.8965517241379226E-2</v>
      </c>
      <c r="H60" s="64">
        <f t="shared" si="15"/>
        <v>-4.3478260869565188E-2</v>
      </c>
      <c r="I60" s="64">
        <f t="shared" si="15"/>
        <v>-0.16129032258064513</v>
      </c>
      <c r="J60" s="64">
        <f t="shared" si="15"/>
        <v>-0.27777777777777779</v>
      </c>
      <c r="K60" s="267">
        <f t="shared" si="15"/>
        <v>-0.10563380281690138</v>
      </c>
      <c r="L60" s="64">
        <f t="shared" si="15"/>
        <v>6.4516129032258007E-2</v>
      </c>
      <c r="M60" s="64">
        <f>M58/H58-1</f>
        <v>-0.22727272727272729</v>
      </c>
      <c r="N60" s="64">
        <f>N58/I58-1</f>
        <v>0.53846153846153855</v>
      </c>
      <c r="O60" s="311"/>
      <c r="P60" s="64">
        <f t="shared" ref="P60" si="16">P58/J58-1</f>
        <v>-0.19230769230769229</v>
      </c>
      <c r="Q60" s="23">
        <v>7.8740157480314821E-3</v>
      </c>
      <c r="R60" s="64">
        <v>3.0303030303030276E-2</v>
      </c>
      <c r="S60" s="64">
        <v>-2.9411764705882359E-2</v>
      </c>
      <c r="T60" s="64">
        <v>-0.30000000000000004</v>
      </c>
      <c r="U60" s="311">
        <v>-0.11214953271028039</v>
      </c>
      <c r="V60" s="64">
        <v>0</v>
      </c>
      <c r="W60" s="23">
        <v>-9.375E-2</v>
      </c>
      <c r="X60" s="64">
        <v>-0.11764705882352944</v>
      </c>
      <c r="Y60" s="64">
        <v>-0.15151515151515149</v>
      </c>
      <c r="Z60" s="64">
        <v>-3.5714285714285698E-2</v>
      </c>
      <c r="AA60" s="311">
        <v>-0.10526315789473684</v>
      </c>
      <c r="AB60" s="64">
        <v>-0.2857142857142857</v>
      </c>
      <c r="AC60" s="23">
        <v>-0.13793103448275867</v>
      </c>
    </row>
    <row r="61" spans="1:29">
      <c r="A61" s="60" t="s">
        <v>301</v>
      </c>
      <c r="B61" s="61">
        <f>B58</f>
        <v>29</v>
      </c>
      <c r="C61" s="61">
        <f>C58</f>
        <v>46</v>
      </c>
      <c r="D61" s="61">
        <f>D58-2</f>
        <v>29</v>
      </c>
      <c r="E61" s="61">
        <f>F61-D61-C61-B61</f>
        <v>35</v>
      </c>
      <c r="F61" s="35">
        <f>F58-3</f>
        <v>139</v>
      </c>
      <c r="G61" s="61">
        <f>G58</f>
        <v>31</v>
      </c>
      <c r="H61" s="61">
        <f>H58</f>
        <v>44</v>
      </c>
      <c r="I61" s="61">
        <f>I58-1</f>
        <v>25</v>
      </c>
      <c r="J61" s="135">
        <f>K61-I61-H61-G61</f>
        <v>26</v>
      </c>
      <c r="K61" s="199">
        <f>K58-1</f>
        <v>126</v>
      </c>
      <c r="L61" s="61">
        <f>L58</f>
        <v>33</v>
      </c>
      <c r="M61" s="61">
        <f>M58</f>
        <v>34</v>
      </c>
      <c r="N61" s="61">
        <f>N58</f>
        <v>40</v>
      </c>
      <c r="O61" s="312">
        <f>N61+M61+L61</f>
        <v>107</v>
      </c>
      <c r="P61" s="61">
        <f>Q61-N61-M61-L61</f>
        <v>21</v>
      </c>
      <c r="Q61" s="35">
        <v>128</v>
      </c>
      <c r="R61" s="61">
        <v>34</v>
      </c>
      <c r="S61" s="61">
        <v>33</v>
      </c>
      <c r="T61" s="61">
        <v>28</v>
      </c>
      <c r="U61" s="312">
        <v>95</v>
      </c>
      <c r="V61" s="61">
        <v>21</v>
      </c>
      <c r="W61" s="35">
        <v>116</v>
      </c>
      <c r="X61" s="61">
        <v>30</v>
      </c>
      <c r="Y61" s="61">
        <v>27</v>
      </c>
      <c r="Z61" s="61">
        <v>27</v>
      </c>
      <c r="AA61" s="312">
        <v>84</v>
      </c>
      <c r="AB61" s="61">
        <v>14</v>
      </c>
      <c r="AC61" s="35">
        <v>98</v>
      </c>
    </row>
    <row r="62" spans="1:29">
      <c r="A62" s="62" t="s">
        <v>7</v>
      </c>
      <c r="B62" s="63"/>
      <c r="C62" s="63">
        <f>C61/B61-1</f>
        <v>0.5862068965517242</v>
      </c>
      <c r="D62" s="63">
        <f>D61/C61-1</f>
        <v>-0.36956521739130432</v>
      </c>
      <c r="E62" s="63">
        <f>E61/D61-1</f>
        <v>0.2068965517241379</v>
      </c>
      <c r="F62" s="23"/>
      <c r="G62" s="63">
        <f>G61/E61-1</f>
        <v>-0.11428571428571432</v>
      </c>
      <c r="H62" s="63">
        <f>H61/G61-1</f>
        <v>0.41935483870967749</v>
      </c>
      <c r="I62" s="63">
        <f>I61/H61-1</f>
        <v>-0.43181818181818177</v>
      </c>
      <c r="J62" s="63">
        <f>J61/I61-1</f>
        <v>4.0000000000000036E-2</v>
      </c>
      <c r="K62" s="23"/>
      <c r="L62" s="63">
        <f>L61/J61-1</f>
        <v>0.26923076923076916</v>
      </c>
      <c r="M62" s="63">
        <f>M61/L61-1</f>
        <v>3.0303030303030276E-2</v>
      </c>
      <c r="N62" s="63">
        <f>N61/M61-1</f>
        <v>0.17647058823529416</v>
      </c>
      <c r="O62" s="310"/>
      <c r="P62" s="63">
        <f>P61/N61-1</f>
        <v>-0.47499999999999998</v>
      </c>
      <c r="Q62" s="23"/>
      <c r="R62" s="63">
        <v>0.61904761904761907</v>
      </c>
      <c r="S62" s="63">
        <v>-2.9411764705882359E-2</v>
      </c>
      <c r="T62" s="63">
        <v>-0.15151515151515149</v>
      </c>
      <c r="U62" s="310"/>
      <c r="V62" s="63">
        <v>-0.25</v>
      </c>
      <c r="W62" s="23"/>
      <c r="X62" s="63">
        <v>0.4285714285714286</v>
      </c>
      <c r="Y62" s="63">
        <v>-9.9999999999999978E-2</v>
      </c>
      <c r="Z62" s="63">
        <v>0</v>
      </c>
      <c r="AA62" s="310"/>
      <c r="AB62" s="63">
        <v>-0.48148148148148151</v>
      </c>
      <c r="AC62" s="23"/>
    </row>
    <row r="63" spans="1:29">
      <c r="A63" s="62" t="s">
        <v>8</v>
      </c>
      <c r="B63" s="64"/>
      <c r="C63" s="64"/>
      <c r="D63" s="64"/>
      <c r="E63" s="64"/>
      <c r="F63" s="23"/>
      <c r="G63" s="64">
        <f t="shared" ref="G63:M63" si="17">G61/B61-1</f>
        <v>6.8965517241379226E-2</v>
      </c>
      <c r="H63" s="64">
        <f t="shared" si="17"/>
        <v>-4.3478260869565188E-2</v>
      </c>
      <c r="I63" s="64">
        <f t="shared" si="17"/>
        <v>-0.13793103448275867</v>
      </c>
      <c r="J63" s="64">
        <f t="shared" si="17"/>
        <v>-0.25714285714285712</v>
      </c>
      <c r="K63" s="23">
        <f t="shared" si="17"/>
        <v>-9.3525179856115082E-2</v>
      </c>
      <c r="L63" s="64">
        <f t="shared" si="17"/>
        <v>6.4516129032258007E-2</v>
      </c>
      <c r="M63" s="64">
        <f t="shared" si="17"/>
        <v>-0.22727272727272729</v>
      </c>
      <c r="N63" s="64">
        <f>N61/I61-1</f>
        <v>0.60000000000000009</v>
      </c>
      <c r="O63" s="311"/>
      <c r="P63" s="64">
        <f t="shared" ref="P63" si="18">P61/J61-1</f>
        <v>-0.19230769230769229</v>
      </c>
      <c r="Q63" s="23">
        <v>1.5873015873015817E-2</v>
      </c>
      <c r="R63" s="64">
        <v>3.0303030303030276E-2</v>
      </c>
      <c r="S63" s="64">
        <v>-2.9411764705882359E-2</v>
      </c>
      <c r="T63" s="64">
        <v>-0.30000000000000004</v>
      </c>
      <c r="U63" s="311">
        <v>-0.11214953271028039</v>
      </c>
      <c r="V63" s="64">
        <v>0</v>
      </c>
      <c r="W63" s="23">
        <v>-9.375E-2</v>
      </c>
      <c r="X63" s="64">
        <v>-0.11764705882352944</v>
      </c>
      <c r="Y63" s="64">
        <v>-0.18181818181818177</v>
      </c>
      <c r="Z63" s="64">
        <v>-3.5714285714285698E-2</v>
      </c>
      <c r="AA63" s="311">
        <v>-0.11578947368421055</v>
      </c>
      <c r="AB63" s="64">
        <v>-0.33333333333333337</v>
      </c>
      <c r="AC63" s="23">
        <v>-0.15517241379310343</v>
      </c>
    </row>
    <row r="64" spans="1:29">
      <c r="A64" s="60" t="s">
        <v>198</v>
      </c>
      <c r="B64" s="61">
        <v>0</v>
      </c>
      <c r="C64" s="61">
        <v>0</v>
      </c>
      <c r="D64" s="61">
        <v>0</v>
      </c>
      <c r="E64" s="61">
        <v>0</v>
      </c>
      <c r="F64" s="55" t="s">
        <v>114</v>
      </c>
      <c r="G64" s="61">
        <v>9</v>
      </c>
      <c r="H64" s="61">
        <v>9</v>
      </c>
      <c r="I64" s="61">
        <v>9</v>
      </c>
      <c r="J64" s="135">
        <f>K64-I64-H64-G64</f>
        <v>9</v>
      </c>
      <c r="K64" s="35">
        <v>36</v>
      </c>
      <c r="L64" s="61">
        <v>8</v>
      </c>
      <c r="M64" s="61">
        <v>8</v>
      </c>
      <c r="N64" s="61">
        <v>8</v>
      </c>
      <c r="O64" s="312">
        <f>N64+M64+L64</f>
        <v>24</v>
      </c>
      <c r="P64" s="61">
        <f>Q64-N64-M64-L64</f>
        <v>8</v>
      </c>
      <c r="Q64" s="35">
        <v>32</v>
      </c>
      <c r="R64" s="61">
        <v>8</v>
      </c>
      <c r="S64" s="61">
        <v>8</v>
      </c>
      <c r="T64" s="61">
        <v>7</v>
      </c>
      <c r="U64" s="312">
        <v>23</v>
      </c>
      <c r="V64" s="61">
        <v>7</v>
      </c>
      <c r="W64" s="35">
        <v>30</v>
      </c>
      <c r="X64" s="61">
        <v>8</v>
      </c>
      <c r="Y64" s="61">
        <v>9</v>
      </c>
      <c r="Z64" s="61">
        <v>9</v>
      </c>
      <c r="AA64" s="312">
        <v>26</v>
      </c>
      <c r="AB64" s="61">
        <v>7</v>
      </c>
      <c r="AC64" s="35">
        <v>33</v>
      </c>
    </row>
    <row r="65" spans="1:29" ht="7.5" customHeight="1">
      <c r="A65" s="60"/>
      <c r="B65" s="64"/>
      <c r="C65" s="64"/>
      <c r="D65" s="64"/>
      <c r="E65" s="64"/>
      <c r="F65" s="23"/>
      <c r="G65" s="61"/>
      <c r="H65" s="61"/>
      <c r="I65" s="61"/>
      <c r="J65" s="135"/>
      <c r="K65" s="35"/>
      <c r="L65" s="61"/>
      <c r="M65" s="61"/>
      <c r="N65" s="61"/>
      <c r="O65" s="309"/>
      <c r="P65" s="61"/>
      <c r="Q65" s="35"/>
      <c r="R65" s="61"/>
      <c r="S65" s="61"/>
      <c r="T65" s="61"/>
      <c r="U65" s="309"/>
      <c r="V65" s="61"/>
      <c r="W65" s="35"/>
      <c r="X65" s="61"/>
      <c r="Y65" s="61"/>
      <c r="Z65" s="61"/>
      <c r="AA65" s="309"/>
      <c r="AB65" s="61"/>
      <c r="AC65" s="35"/>
    </row>
    <row r="66" spans="1:29">
      <c r="A66" s="60" t="s">
        <v>393</v>
      </c>
      <c r="B66" s="61">
        <f>B55-B61</f>
        <v>23</v>
      </c>
      <c r="C66" s="61">
        <f>C55-C61</f>
        <v>23</v>
      </c>
      <c r="D66" s="61">
        <f>D55-D61</f>
        <v>45</v>
      </c>
      <c r="E66" s="61">
        <f>F66-D66-C66-B66</f>
        <v>47</v>
      </c>
      <c r="F66" s="35">
        <f>F55-F61</f>
        <v>138</v>
      </c>
      <c r="G66" s="61">
        <f>G55-G61-G64</f>
        <v>27</v>
      </c>
      <c r="H66" s="61">
        <f>H55-H61-H64</f>
        <v>1</v>
      </c>
      <c r="I66" s="61">
        <v>38</v>
      </c>
      <c r="J66" s="135">
        <f>K66-I66-H66-G66</f>
        <v>72</v>
      </c>
      <c r="K66" s="35">
        <v>138</v>
      </c>
      <c r="L66" s="61">
        <f>L55-L61-L64</f>
        <v>15</v>
      </c>
      <c r="M66" s="61">
        <f>M55-M61-M64</f>
        <v>6</v>
      </c>
      <c r="N66" s="61">
        <f>N55-N61-N64</f>
        <v>16</v>
      </c>
      <c r="O66" s="312">
        <f>N66+M66+L66</f>
        <v>37</v>
      </c>
      <c r="P66" s="61">
        <f>Q66-N66-M66-L66</f>
        <v>58</v>
      </c>
      <c r="Q66" s="35">
        <v>95</v>
      </c>
      <c r="R66" s="61">
        <v>18</v>
      </c>
      <c r="S66" s="61">
        <v>7</v>
      </c>
      <c r="T66" s="61">
        <v>12</v>
      </c>
      <c r="U66" s="312">
        <v>37</v>
      </c>
      <c r="V66" s="61">
        <v>47</v>
      </c>
      <c r="W66" s="35">
        <v>84</v>
      </c>
      <c r="X66" s="61">
        <v>23</v>
      </c>
      <c r="Y66" s="165">
        <v>-10</v>
      </c>
      <c r="Z66" s="61">
        <v>60</v>
      </c>
      <c r="AA66" s="312">
        <v>73</v>
      </c>
      <c r="AB66" s="165">
        <v>-73</v>
      </c>
      <c r="AC66" s="35">
        <v>0</v>
      </c>
    </row>
    <row r="67" spans="1:29" ht="10.5" customHeight="1">
      <c r="A67" s="62" t="s">
        <v>7</v>
      </c>
      <c r="B67" s="63"/>
      <c r="C67" s="63">
        <f>C66/B66-1</f>
        <v>0</v>
      </c>
      <c r="D67" s="63">
        <f>D66/C66-1</f>
        <v>0.95652173913043481</v>
      </c>
      <c r="E67" s="63">
        <f>E66/D66-1</f>
        <v>4.4444444444444509E-2</v>
      </c>
      <c r="F67" s="23"/>
      <c r="G67" s="63">
        <f>G66/E66-1</f>
        <v>-0.42553191489361697</v>
      </c>
      <c r="H67" s="63">
        <f>H66/G66-1</f>
        <v>-0.96296296296296302</v>
      </c>
      <c r="I67" s="63">
        <f>I66/H66-1</f>
        <v>37</v>
      </c>
      <c r="J67" s="63">
        <f>J66/I66-1</f>
        <v>0.89473684210526305</v>
      </c>
      <c r="K67" s="23"/>
      <c r="L67" s="63">
        <f>L66/J66-1</f>
        <v>-0.79166666666666663</v>
      </c>
      <c r="M67" s="63">
        <f>M66/L66-1</f>
        <v>-0.6</v>
      </c>
      <c r="N67" s="63">
        <f>N66/M66-1</f>
        <v>1.6666666666666665</v>
      </c>
      <c r="O67" s="310"/>
      <c r="P67" s="63">
        <f>P66/N66-1</f>
        <v>2.625</v>
      </c>
      <c r="Q67" s="23"/>
      <c r="R67" s="63">
        <v>-0.68965517241379315</v>
      </c>
      <c r="S67" s="63">
        <v>-0.61111111111111116</v>
      </c>
      <c r="T67" s="63">
        <v>0.71428571428571419</v>
      </c>
      <c r="U67" s="310"/>
      <c r="V67" s="63">
        <v>2.9166666666666665</v>
      </c>
      <c r="W67" s="23"/>
      <c r="X67" s="63">
        <v>-0.5106382978723405</v>
      </c>
      <c r="Y67" s="75" t="s">
        <v>34</v>
      </c>
      <c r="Z67" s="75" t="s">
        <v>34</v>
      </c>
      <c r="AA67" s="310"/>
      <c r="AB67" s="75" t="s">
        <v>34</v>
      </c>
      <c r="AC67" s="23"/>
    </row>
    <row r="68" spans="1:29">
      <c r="A68" s="62" t="s">
        <v>8</v>
      </c>
      <c r="B68" s="64"/>
      <c r="C68" s="64"/>
      <c r="D68" s="64"/>
      <c r="E68" s="64"/>
      <c r="F68" s="23"/>
      <c r="G68" s="64">
        <f t="shared" ref="G68:M68" si="19">G66/B66-1</f>
        <v>0.17391304347826098</v>
      </c>
      <c r="H68" s="64">
        <f t="shared" si="19"/>
        <v>-0.95652173913043481</v>
      </c>
      <c r="I68" s="64">
        <f t="shared" si="19"/>
        <v>-0.15555555555555556</v>
      </c>
      <c r="J68" s="64">
        <f t="shared" si="19"/>
        <v>0.53191489361702127</v>
      </c>
      <c r="K68" s="23">
        <f t="shared" si="19"/>
        <v>0</v>
      </c>
      <c r="L68" s="64">
        <f t="shared" si="19"/>
        <v>-0.44444444444444442</v>
      </c>
      <c r="M68" s="64">
        <f t="shared" si="19"/>
        <v>5</v>
      </c>
      <c r="N68" s="64">
        <f>N66/I66-1</f>
        <v>-0.57894736842105265</v>
      </c>
      <c r="O68" s="311"/>
      <c r="P68" s="64">
        <f t="shared" ref="P68" si="20">P66/J66-1</f>
        <v>-0.19444444444444442</v>
      </c>
      <c r="Q68" s="23">
        <v>-0.31159420289855078</v>
      </c>
      <c r="R68" s="64">
        <v>0.19999999999999996</v>
      </c>
      <c r="S68" s="64">
        <v>0.16666666666666674</v>
      </c>
      <c r="T68" s="64">
        <v>-0.25</v>
      </c>
      <c r="U68" s="311">
        <v>0</v>
      </c>
      <c r="V68" s="64">
        <v>-0.18965517241379315</v>
      </c>
      <c r="W68" s="23">
        <v>-0.11578947368421055</v>
      </c>
      <c r="X68" s="64">
        <v>0.27777777777777768</v>
      </c>
      <c r="Y68" s="64">
        <v>-2.4285714285714288</v>
      </c>
      <c r="Z68" s="64">
        <v>4</v>
      </c>
      <c r="AA68" s="311">
        <v>0.97297297297297303</v>
      </c>
      <c r="AB68" s="75" t="s">
        <v>34</v>
      </c>
      <c r="AC68" s="82" t="s">
        <v>34</v>
      </c>
    </row>
    <row r="69" spans="1:29">
      <c r="A69" s="329" t="s">
        <v>19</v>
      </c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</row>
    <row r="70" spans="1:29">
      <c r="A70" s="60" t="s">
        <v>31</v>
      </c>
      <c r="B70" s="68">
        <f t="shared" ref="B70:P70" si="21">B42/B8</f>
        <v>9.375E-2</v>
      </c>
      <c r="C70" s="68">
        <f t="shared" si="21"/>
        <v>8.1081081081081086E-2</v>
      </c>
      <c r="D70" s="68">
        <f t="shared" si="21"/>
        <v>7.3569482288828342E-2</v>
      </c>
      <c r="E70" s="68">
        <f t="shared" si="21"/>
        <v>5.0131926121372031E-2</v>
      </c>
      <c r="F70" s="48">
        <f t="shared" si="21"/>
        <v>7.4821080026024722E-2</v>
      </c>
      <c r="G70" s="68">
        <f t="shared" si="21"/>
        <v>5.113636363636364E-2</v>
      </c>
      <c r="H70" s="68">
        <f t="shared" si="21"/>
        <v>4.1666666666666664E-2</v>
      </c>
      <c r="I70" s="68">
        <f t="shared" si="21"/>
        <v>4.2042042042042045E-2</v>
      </c>
      <c r="J70" s="68">
        <f t="shared" si="21"/>
        <v>1.3513513513513514E-2</v>
      </c>
      <c r="K70" s="48">
        <f t="shared" si="21"/>
        <v>3.6664270309130123E-2</v>
      </c>
      <c r="L70" s="68">
        <f t="shared" si="21"/>
        <v>5.865102639296188E-2</v>
      </c>
      <c r="M70" s="68">
        <f t="shared" si="21"/>
        <v>1.1799410029498525E-2</v>
      </c>
      <c r="N70" s="68">
        <f t="shared" si="21"/>
        <v>-9.7264437689969604E-2</v>
      </c>
      <c r="O70" s="318">
        <f>O42/O8</f>
        <v>-7.9286422200198214E-3</v>
      </c>
      <c r="P70" s="68">
        <f t="shared" si="21"/>
        <v>-0.45151515151515154</v>
      </c>
      <c r="Q70" s="48">
        <v>-0.11725168035847648</v>
      </c>
      <c r="R70" s="68">
        <v>6.9400630914826497E-2</v>
      </c>
      <c r="S70" s="68">
        <v>6.6878980891719744E-2</v>
      </c>
      <c r="T70" s="68">
        <v>-0.96825396825396826</v>
      </c>
      <c r="U70" s="318">
        <v>-0.27695560253699791</v>
      </c>
      <c r="V70" s="68">
        <v>-0.04</v>
      </c>
      <c r="W70" s="48">
        <v>-0.21636506687647522</v>
      </c>
      <c r="X70" s="68">
        <v>-2.564102564102564E-2</v>
      </c>
      <c r="Y70" s="68">
        <v>3.5483870967741936E-2</v>
      </c>
      <c r="Z70" s="68">
        <v>3.484320557491289E-2</v>
      </c>
      <c r="AA70" s="318">
        <v>1.4301430143014302E-2</v>
      </c>
      <c r="AB70" s="68">
        <v>-1.524390243902439E-2</v>
      </c>
      <c r="AC70" s="48">
        <v>6.4672594987873885E-3</v>
      </c>
    </row>
    <row r="71" spans="1:29">
      <c r="A71" s="60" t="s">
        <v>10</v>
      </c>
      <c r="B71" s="68">
        <f t="shared" ref="B71:P71" si="22">B48/B8</f>
        <v>0.21354166666666666</v>
      </c>
      <c r="C71" s="68">
        <f t="shared" si="22"/>
        <v>0.19164619164619165</v>
      </c>
      <c r="D71" s="68">
        <f t="shared" si="22"/>
        <v>0.1989100817438692</v>
      </c>
      <c r="E71" s="68">
        <f t="shared" si="22"/>
        <v>0.15303430079155672</v>
      </c>
      <c r="F71" s="48">
        <f t="shared" si="22"/>
        <v>0.18932986337020169</v>
      </c>
      <c r="G71" s="68">
        <f t="shared" si="22"/>
        <v>0.19602272727272727</v>
      </c>
      <c r="H71" s="68">
        <f t="shared" si="22"/>
        <v>0.19940476190476192</v>
      </c>
      <c r="I71" s="68">
        <f t="shared" si="22"/>
        <v>0.2072072072072072</v>
      </c>
      <c r="J71" s="68">
        <f t="shared" si="22"/>
        <v>0.17837837837837839</v>
      </c>
      <c r="K71" s="48">
        <f t="shared" si="22"/>
        <v>0.19482386772106397</v>
      </c>
      <c r="L71" s="68">
        <f t="shared" si="22"/>
        <v>0.21114369501466276</v>
      </c>
      <c r="M71" s="68">
        <f t="shared" si="22"/>
        <v>0.15634218289085547</v>
      </c>
      <c r="N71" s="68">
        <f t="shared" si="22"/>
        <v>2.1276595744680851E-2</v>
      </c>
      <c r="O71" s="318">
        <f>O48/O8</f>
        <v>0.13082259663032705</v>
      </c>
      <c r="P71" s="68">
        <f t="shared" si="22"/>
        <v>-0.41818181818181815</v>
      </c>
      <c r="Q71" s="48">
        <v>-4.4809559372666168E-3</v>
      </c>
      <c r="R71" s="68">
        <v>0.22712933753943218</v>
      </c>
      <c r="S71" s="68">
        <v>0.2070063694267516</v>
      </c>
      <c r="T71" s="68">
        <v>-0.73968253968253972</v>
      </c>
      <c r="U71" s="318">
        <v>-0.1014799154334038</v>
      </c>
      <c r="V71" s="68">
        <v>1.2307692307692308E-2</v>
      </c>
      <c r="W71" s="48">
        <v>-7.2383949645948076E-2</v>
      </c>
      <c r="X71" s="68">
        <v>0.13141025641025642</v>
      </c>
      <c r="Y71" s="68">
        <v>0.2</v>
      </c>
      <c r="Z71" s="68">
        <v>0.17770034843205576</v>
      </c>
      <c r="AA71" s="318">
        <v>0.1694169416941694</v>
      </c>
      <c r="AB71" s="68">
        <v>0.125</v>
      </c>
      <c r="AC71" s="48">
        <v>0.1576394502829426</v>
      </c>
    </row>
    <row r="72" spans="1:29">
      <c r="A72" s="60" t="s">
        <v>18</v>
      </c>
      <c r="B72" s="68">
        <f t="shared" ref="B72:P72" si="23">B58/B8</f>
        <v>7.5520833333333329E-2</v>
      </c>
      <c r="C72" s="68">
        <f t="shared" si="23"/>
        <v>0.11302211302211303</v>
      </c>
      <c r="D72" s="68">
        <f t="shared" si="23"/>
        <v>8.4468664850136238E-2</v>
      </c>
      <c r="E72" s="68">
        <f t="shared" si="23"/>
        <v>9.498680738786279E-2</v>
      </c>
      <c r="F72" s="48">
        <f t="shared" si="23"/>
        <v>9.2387768379960961E-2</v>
      </c>
      <c r="G72" s="68">
        <f t="shared" si="23"/>
        <v>8.8068181818181823E-2</v>
      </c>
      <c r="H72" s="68">
        <f t="shared" si="23"/>
        <v>0.13095238095238096</v>
      </c>
      <c r="I72" s="68">
        <f t="shared" si="23"/>
        <v>7.8078078078078081E-2</v>
      </c>
      <c r="J72" s="68">
        <f t="shared" si="23"/>
        <v>7.0270270270270274E-2</v>
      </c>
      <c r="K72" s="48">
        <f t="shared" si="23"/>
        <v>9.1301222142343638E-2</v>
      </c>
      <c r="L72" s="68">
        <f t="shared" si="23"/>
        <v>9.6774193548387094E-2</v>
      </c>
      <c r="M72" s="68">
        <f t="shared" si="23"/>
        <v>0.10029498525073746</v>
      </c>
      <c r="N72" s="68">
        <f t="shared" si="23"/>
        <v>0.12158054711246201</v>
      </c>
      <c r="O72" s="318">
        <f>O58/O8</f>
        <v>0.10604558969276512</v>
      </c>
      <c r="P72" s="68">
        <f t="shared" si="23"/>
        <v>6.363636363636363E-2</v>
      </c>
      <c r="Q72" s="48">
        <v>9.5593726661687833E-2</v>
      </c>
      <c r="R72" s="68">
        <v>0.10725552050473186</v>
      </c>
      <c r="S72" s="68">
        <v>0.10509554140127389</v>
      </c>
      <c r="T72" s="68">
        <v>8.8888888888888892E-2</v>
      </c>
      <c r="U72" s="318">
        <v>0.10042283298097252</v>
      </c>
      <c r="V72" s="68">
        <v>6.4615384615384616E-2</v>
      </c>
      <c r="W72" s="48">
        <v>9.1266719118804088E-2</v>
      </c>
      <c r="X72" s="68">
        <v>9.6153846153846159E-2</v>
      </c>
      <c r="Y72" s="68">
        <v>9.0322580645161285E-2</v>
      </c>
      <c r="Z72" s="68">
        <v>9.4076655052264813E-2</v>
      </c>
      <c r="AA72" s="318">
        <v>9.3509350935093508E-2</v>
      </c>
      <c r="AB72" s="68">
        <v>4.573170731707317E-2</v>
      </c>
      <c r="AC72" s="48">
        <v>8.084074373484236E-2</v>
      </c>
    </row>
    <row r="73" spans="1:29" ht="2.2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 ht="6.75" customHeight="1"/>
    <row r="75" spans="1:29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100"/>
  <sheetViews>
    <sheetView showGridLines="0" tabSelected="1" zoomScale="110" zoomScaleNormal="110" workbookViewId="0">
      <pane xSplit="1" ySplit="4" topLeftCell="G89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22" max="22" width="0" hidden="1" customWidth="1"/>
    <col min="24" max="24" width="9.5703125" bestFit="1" customWidth="1"/>
    <col min="28" max="28" width="0" hidden="1" customWidth="1"/>
  </cols>
  <sheetData>
    <row r="1" spans="1:3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0">
      <c r="A3" s="30"/>
      <c r="B3" s="45" t="s">
        <v>5</v>
      </c>
      <c r="C3" s="45" t="s">
        <v>68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68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68</v>
      </c>
      <c r="N3" s="45" t="s">
        <v>0</v>
      </c>
      <c r="O3" s="45" t="s">
        <v>1</v>
      </c>
      <c r="P3" s="45" t="s">
        <v>380</v>
      </c>
      <c r="Q3" s="45" t="s">
        <v>2</v>
      </c>
      <c r="R3" s="45" t="s">
        <v>5</v>
      </c>
      <c r="S3" s="45" t="s">
        <v>68</v>
      </c>
      <c r="T3" s="45" t="s">
        <v>0</v>
      </c>
      <c r="U3" s="45" t="s">
        <v>1</v>
      </c>
      <c r="V3" s="45" t="s">
        <v>380</v>
      </c>
      <c r="W3" s="45" t="s">
        <v>2</v>
      </c>
      <c r="X3" s="45" t="s">
        <v>5</v>
      </c>
      <c r="Y3" s="45" t="s">
        <v>68</v>
      </c>
      <c r="Z3" s="45" t="s">
        <v>0</v>
      </c>
      <c r="AA3" s="45" t="s">
        <v>1</v>
      </c>
      <c r="AB3" s="45" t="s">
        <v>380</v>
      </c>
      <c r="AC3" s="45" t="s">
        <v>2</v>
      </c>
      <c r="AD3" s="45" t="s">
        <v>5</v>
      </c>
    </row>
    <row r="4" spans="1:30">
      <c r="A4" s="237" t="s">
        <v>259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</row>
    <row r="5" spans="1:30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0.25">
      <c r="A6" s="33" t="s">
        <v>221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1"/>
    </row>
    <row r="8" spans="1:30">
      <c r="A8" s="328" t="s">
        <v>55</v>
      </c>
      <c r="B8" s="322"/>
      <c r="C8" s="316"/>
      <c r="D8" s="316"/>
      <c r="E8" s="316"/>
      <c r="F8" s="316"/>
      <c r="G8" s="322"/>
      <c r="H8" s="316"/>
      <c r="I8" s="316"/>
      <c r="J8" s="316"/>
      <c r="K8" s="316"/>
      <c r="L8" s="322"/>
      <c r="M8" s="316"/>
      <c r="N8" s="316"/>
      <c r="O8" s="316"/>
      <c r="P8" s="316"/>
      <c r="Q8" s="316"/>
      <c r="R8" s="322"/>
      <c r="S8" s="316"/>
      <c r="T8" s="316"/>
      <c r="U8" s="316"/>
      <c r="V8" s="316"/>
      <c r="W8" s="316"/>
      <c r="X8" s="322"/>
      <c r="Y8" s="316"/>
      <c r="Z8" s="316"/>
      <c r="AA8" s="316"/>
      <c r="AB8" s="316"/>
      <c r="AC8" s="316"/>
      <c r="AD8" s="322"/>
    </row>
    <row r="9" spans="1:30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309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309">
        <v>970</v>
      </c>
      <c r="W9" s="61">
        <v>317</v>
      </c>
      <c r="X9" s="35">
        <v>1287</v>
      </c>
      <c r="Y9" s="61">
        <v>315</v>
      </c>
      <c r="Z9" s="61">
        <v>315</v>
      </c>
      <c r="AA9" s="61">
        <v>318</v>
      </c>
      <c r="AB9" s="309">
        <v>948</v>
      </c>
      <c r="AC9" s="61">
        <v>322</v>
      </c>
      <c r="AD9" s="35">
        <v>1270</v>
      </c>
    </row>
    <row r="10" spans="1:30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310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310"/>
      <c r="W10" s="63">
        <v>1.2779552715654896E-2</v>
      </c>
      <c r="X10" s="23"/>
      <c r="Y10" s="63">
        <v>-6.3091482649841879E-3</v>
      </c>
      <c r="Z10" s="63">
        <v>0</v>
      </c>
      <c r="AA10" s="63">
        <v>9.52380952380949E-3</v>
      </c>
      <c r="AB10" s="310"/>
      <c r="AC10" s="63">
        <v>1.2578616352201255E-2</v>
      </c>
      <c r="AD10" s="23"/>
    </row>
    <row r="11" spans="1:30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311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311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A11" s="64">
        <v>1.5974440894568787E-2</v>
      </c>
      <c r="AB11" s="311">
        <v>-2.2680412371134051E-2</v>
      </c>
      <c r="AC11" s="64">
        <v>1.577287066246047E-2</v>
      </c>
      <c r="AD11" s="23">
        <v>-1.3209013209013243E-2</v>
      </c>
    </row>
    <row r="12" spans="1:30">
      <c r="A12" s="60" t="s">
        <v>209</v>
      </c>
      <c r="B12" s="35">
        <v>296</v>
      </c>
      <c r="C12" s="131">
        <v>70</v>
      </c>
      <c r="D12" s="131">
        <v>71</v>
      </c>
      <c r="E12" s="131">
        <v>72</v>
      </c>
      <c r="F12" s="131">
        <f>G12-E12-D12-C12</f>
        <v>72</v>
      </c>
      <c r="G12" s="35">
        <v>285</v>
      </c>
      <c r="H12" s="131">
        <v>79</v>
      </c>
      <c r="I12" s="61">
        <v>79</v>
      </c>
      <c r="J12" s="61">
        <v>81</v>
      </c>
      <c r="K12" s="61">
        <v>84</v>
      </c>
      <c r="L12" s="35">
        <v>323</v>
      </c>
      <c r="M12" s="61">
        <v>55</v>
      </c>
      <c r="N12" s="61">
        <v>68</v>
      </c>
      <c r="O12" s="61">
        <v>50</v>
      </c>
      <c r="P12" s="309">
        <v>173</v>
      </c>
      <c r="Q12" s="61">
        <v>46</v>
      </c>
      <c r="R12" s="35">
        <v>219</v>
      </c>
      <c r="S12" s="61">
        <v>44</v>
      </c>
      <c r="T12" s="61">
        <v>50</v>
      </c>
      <c r="U12" s="61">
        <v>50</v>
      </c>
      <c r="V12" s="309">
        <v>144</v>
      </c>
      <c r="W12" s="61">
        <v>59</v>
      </c>
      <c r="X12" s="35">
        <v>203</v>
      </c>
      <c r="Y12" s="61">
        <v>61</v>
      </c>
      <c r="Z12" s="61">
        <v>45</v>
      </c>
      <c r="AA12" s="61">
        <v>45</v>
      </c>
      <c r="AB12" s="309">
        <v>151</v>
      </c>
      <c r="AC12" s="61">
        <v>52</v>
      </c>
      <c r="AD12" s="35">
        <v>203</v>
      </c>
    </row>
    <row r="13" spans="1:30">
      <c r="A13" s="72" t="s">
        <v>7</v>
      </c>
      <c r="B13" s="23"/>
      <c r="C13" s="63"/>
      <c r="D13" s="63">
        <f>D12/C12-1</f>
        <v>1.4285714285714235E-2</v>
      </c>
      <c r="E13" s="63">
        <f>E12/D12-1</f>
        <v>1.4084507042253502E-2</v>
      </c>
      <c r="F13" s="63">
        <f>F12/E12-1</f>
        <v>0</v>
      </c>
      <c r="G13" s="23"/>
      <c r="H13" s="149">
        <v>9.7222222222222321E-2</v>
      </c>
      <c r="I13" s="63">
        <v>0</v>
      </c>
      <c r="J13" s="63">
        <v>2.5316455696202445E-2</v>
      </c>
      <c r="K13" s="63">
        <v>3.7037037037036979E-2</v>
      </c>
      <c r="L13" s="23"/>
      <c r="M13" s="63">
        <v>-0.34523809523809523</v>
      </c>
      <c r="N13" s="63">
        <v>0.23636363636363633</v>
      </c>
      <c r="O13" s="63">
        <v>-0.26470588235294112</v>
      </c>
      <c r="P13" s="310"/>
      <c r="Q13" s="63">
        <v>-7.999999999999996E-2</v>
      </c>
      <c r="R13" s="23"/>
      <c r="S13" s="63">
        <v>-4.3478260869565188E-2</v>
      </c>
      <c r="T13" s="63">
        <v>0.13636363636363646</v>
      </c>
      <c r="U13" s="63">
        <v>0</v>
      </c>
      <c r="V13" s="310"/>
      <c r="W13" s="63">
        <v>0.17999999999999994</v>
      </c>
      <c r="X13" s="23"/>
      <c r="Y13" s="63">
        <v>3.3898305084745672E-2</v>
      </c>
      <c r="Z13" s="63">
        <v>-0.26229508196721307</v>
      </c>
      <c r="AA13" s="63">
        <v>0</v>
      </c>
      <c r="AB13" s="310"/>
      <c r="AC13" s="63">
        <v>0.15555555555555545</v>
      </c>
      <c r="AD13" s="23"/>
    </row>
    <row r="14" spans="1:30">
      <c r="A14" s="72" t="s">
        <v>8</v>
      </c>
      <c r="B14" s="23"/>
      <c r="C14" s="64"/>
      <c r="D14" s="64"/>
      <c r="E14" s="64"/>
      <c r="F14" s="64"/>
      <c r="G14" s="23">
        <v>-3.7162162162162171E-2</v>
      </c>
      <c r="H14" s="148">
        <v>0.12857142857142856</v>
      </c>
      <c r="I14" s="64">
        <v>0.11267605633802824</v>
      </c>
      <c r="J14" s="64">
        <v>0.125</v>
      </c>
      <c r="K14" s="64">
        <v>0.16666666666666674</v>
      </c>
      <c r="L14" s="23">
        <v>0.1333333333333333</v>
      </c>
      <c r="M14" s="64">
        <v>-0.30379746835443033</v>
      </c>
      <c r="N14" s="64">
        <v>-0.13924050632911389</v>
      </c>
      <c r="O14" s="64">
        <v>-0.38271604938271608</v>
      </c>
      <c r="P14" s="311"/>
      <c r="Q14" s="64">
        <v>-0.45238095238095233</v>
      </c>
      <c r="R14" s="23">
        <v>-0.32198142414860687</v>
      </c>
      <c r="S14" s="64">
        <v>-0.19999999999999996</v>
      </c>
      <c r="T14" s="64">
        <v>-0.26470588235294112</v>
      </c>
      <c r="U14" s="64">
        <v>0</v>
      </c>
      <c r="V14" s="311">
        <v>-0.16763005780346818</v>
      </c>
      <c r="W14" s="64">
        <v>0.28260869565217384</v>
      </c>
      <c r="X14" s="23">
        <v>-7.3059360730593603E-2</v>
      </c>
      <c r="Y14" s="64">
        <v>0.38636363636363646</v>
      </c>
      <c r="Z14" s="64">
        <v>-9.9999999999999978E-2</v>
      </c>
      <c r="AA14" s="64">
        <v>-9.9999999999999978E-2</v>
      </c>
      <c r="AB14" s="311">
        <v>4.861111111111116E-2</v>
      </c>
      <c r="AC14" s="64">
        <v>-0.11864406779661019</v>
      </c>
      <c r="AD14" s="23">
        <v>0</v>
      </c>
    </row>
    <row r="15" spans="1:30">
      <c r="A15" s="60" t="s">
        <v>69</v>
      </c>
      <c r="B15" s="35">
        <v>249</v>
      </c>
      <c r="C15" s="61">
        <v>59</v>
      </c>
      <c r="D15" s="61">
        <v>59</v>
      </c>
      <c r="E15" s="61">
        <v>62</v>
      </c>
      <c r="F15" s="61">
        <f>G15-E15-D15-C15</f>
        <v>65</v>
      </c>
      <c r="G15" s="35">
        <v>245</v>
      </c>
      <c r="H15" s="131">
        <v>58</v>
      </c>
      <c r="I15" s="61">
        <v>60</v>
      </c>
      <c r="J15" s="61">
        <v>56</v>
      </c>
      <c r="K15" s="61">
        <v>59</v>
      </c>
      <c r="L15" s="35">
        <v>233</v>
      </c>
      <c r="M15" s="61">
        <v>56</v>
      </c>
      <c r="N15" s="61">
        <v>54</v>
      </c>
      <c r="O15" s="61">
        <v>52</v>
      </c>
      <c r="P15" s="309">
        <v>162</v>
      </c>
      <c r="Q15" s="61">
        <v>54</v>
      </c>
      <c r="R15" s="35">
        <v>216</v>
      </c>
      <c r="S15" s="61">
        <v>54</v>
      </c>
      <c r="T15" s="61">
        <v>48</v>
      </c>
      <c r="U15" s="61">
        <v>50</v>
      </c>
      <c r="V15" s="309">
        <v>152</v>
      </c>
      <c r="W15" s="61">
        <v>51</v>
      </c>
      <c r="X15" s="35">
        <v>203</v>
      </c>
      <c r="Y15" s="61">
        <v>50</v>
      </c>
      <c r="Z15" s="61">
        <v>45</v>
      </c>
      <c r="AA15" s="61">
        <v>44</v>
      </c>
      <c r="AB15" s="309">
        <v>139</v>
      </c>
      <c r="AC15" s="61">
        <v>49</v>
      </c>
      <c r="AD15" s="35">
        <v>188</v>
      </c>
    </row>
    <row r="16" spans="1:30">
      <c r="A16" s="62" t="s">
        <v>7</v>
      </c>
      <c r="B16" s="23"/>
      <c r="C16" s="63"/>
      <c r="D16" s="63">
        <f>D15/C15-1</f>
        <v>0</v>
      </c>
      <c r="E16" s="63">
        <f>E15/D15-1</f>
        <v>5.0847457627118731E-2</v>
      </c>
      <c r="F16" s="63">
        <f>F15/E15-1</f>
        <v>4.8387096774193505E-2</v>
      </c>
      <c r="G16" s="23"/>
      <c r="H16" s="149">
        <v>-0.10769230769230764</v>
      </c>
      <c r="I16" s="63">
        <v>3.4482758620689724E-2</v>
      </c>
      <c r="J16" s="63">
        <v>-6.6666666666666652E-2</v>
      </c>
      <c r="K16" s="63">
        <v>5.3571428571428603E-2</v>
      </c>
      <c r="L16" s="23"/>
      <c r="M16" s="63">
        <v>-5.084745762711862E-2</v>
      </c>
      <c r="N16" s="63">
        <v>-3.5714285714285698E-2</v>
      </c>
      <c r="O16" s="63">
        <v>-3.703703703703709E-2</v>
      </c>
      <c r="P16" s="310"/>
      <c r="Q16" s="63">
        <v>3.8461538461538547E-2</v>
      </c>
      <c r="R16" s="23"/>
      <c r="S16" s="63">
        <v>0</v>
      </c>
      <c r="T16" s="63">
        <v>-0.11111111111111116</v>
      </c>
      <c r="U16" s="63">
        <v>4.1666666666666741E-2</v>
      </c>
      <c r="V16" s="310"/>
      <c r="W16" s="63">
        <v>2.0000000000000018E-2</v>
      </c>
      <c r="X16" s="23"/>
      <c r="Y16" s="63">
        <v>-1.9607843137254943E-2</v>
      </c>
      <c r="Z16" s="63">
        <v>-9.9999999999999978E-2</v>
      </c>
      <c r="AA16" s="63">
        <v>-2.2222222222222254E-2</v>
      </c>
      <c r="AB16" s="310"/>
      <c r="AC16" s="63">
        <v>0.11363636363636354</v>
      </c>
      <c r="AD16" s="23"/>
    </row>
    <row r="17" spans="1:30">
      <c r="A17" s="62" t="s">
        <v>8</v>
      </c>
      <c r="B17" s="23"/>
      <c r="C17" s="64"/>
      <c r="D17" s="64"/>
      <c r="E17" s="64"/>
      <c r="F17" s="64"/>
      <c r="G17" s="23">
        <v>-1.6064257028112428E-2</v>
      </c>
      <c r="H17" s="148">
        <v>-1.6949152542372836E-2</v>
      </c>
      <c r="I17" s="64">
        <v>1.6949152542372836E-2</v>
      </c>
      <c r="J17" s="64">
        <v>-9.6774193548387122E-2</v>
      </c>
      <c r="K17" s="64">
        <v>-9.2307692307692313E-2</v>
      </c>
      <c r="L17" s="23">
        <v>-4.8979591836734726E-2</v>
      </c>
      <c r="M17" s="64">
        <v>-3.4482758620689613E-2</v>
      </c>
      <c r="N17" s="64">
        <v>-9.9999999999999978E-2</v>
      </c>
      <c r="O17" s="64">
        <v>-7.1428571428571397E-2</v>
      </c>
      <c r="P17" s="311"/>
      <c r="Q17" s="64">
        <v>-8.4745762711864403E-2</v>
      </c>
      <c r="R17" s="23">
        <v>-7.2961373390557971E-2</v>
      </c>
      <c r="S17" s="64">
        <v>-3.5714285714285698E-2</v>
      </c>
      <c r="T17" s="64">
        <v>-0.11111111111111116</v>
      </c>
      <c r="U17" s="64">
        <v>-3.8461538461538436E-2</v>
      </c>
      <c r="V17" s="311">
        <v>-6.1728395061728447E-2</v>
      </c>
      <c r="W17" s="64">
        <v>-5.555555555555558E-2</v>
      </c>
      <c r="X17" s="23">
        <v>-6.018518518518523E-2</v>
      </c>
      <c r="Y17" s="64">
        <v>-7.407407407407407E-2</v>
      </c>
      <c r="Z17" s="64">
        <v>-6.25E-2</v>
      </c>
      <c r="AA17" s="64">
        <v>-0.12</v>
      </c>
      <c r="AB17" s="311">
        <v>-8.5526315789473673E-2</v>
      </c>
      <c r="AC17" s="64">
        <v>-3.9215686274509776E-2</v>
      </c>
      <c r="AD17" s="23">
        <v>-7.3891625615763568E-2</v>
      </c>
    </row>
    <row r="18" spans="1:30">
      <c r="A18" s="60" t="s">
        <v>225</v>
      </c>
      <c r="B18" s="35">
        <v>947</v>
      </c>
      <c r="C18" s="61">
        <v>243</v>
      </c>
      <c r="D18" s="61">
        <v>237</v>
      </c>
      <c r="E18" s="61">
        <v>237</v>
      </c>
      <c r="F18" s="61">
        <f>G18-E18-D18-C18</f>
        <v>240</v>
      </c>
      <c r="G18" s="35">
        <v>957</v>
      </c>
      <c r="H18" s="131">
        <v>237</v>
      </c>
      <c r="I18" s="61">
        <v>246</v>
      </c>
      <c r="J18" s="61">
        <v>229</v>
      </c>
      <c r="K18" s="61">
        <v>244</v>
      </c>
      <c r="L18" s="35">
        <v>956</v>
      </c>
      <c r="M18" s="61">
        <v>234</v>
      </c>
      <c r="N18" s="61">
        <v>248</v>
      </c>
      <c r="O18" s="61">
        <v>211</v>
      </c>
      <c r="P18" s="309">
        <v>693</v>
      </c>
      <c r="Q18" s="61">
        <v>230</v>
      </c>
      <c r="R18" s="35">
        <v>923</v>
      </c>
      <c r="S18" s="61">
        <v>231</v>
      </c>
      <c r="T18" s="61">
        <v>210</v>
      </c>
      <c r="U18" s="61">
        <v>195</v>
      </c>
      <c r="V18" s="309">
        <v>636</v>
      </c>
      <c r="W18" s="61">
        <v>221</v>
      </c>
      <c r="X18" s="35">
        <v>857</v>
      </c>
      <c r="Y18" s="61">
        <v>212</v>
      </c>
      <c r="Z18" s="61">
        <v>203</v>
      </c>
      <c r="AA18" s="61">
        <v>198</v>
      </c>
      <c r="AB18" s="309">
        <v>613</v>
      </c>
      <c r="AC18" s="61">
        <v>222</v>
      </c>
      <c r="AD18" s="35">
        <v>835</v>
      </c>
    </row>
    <row r="19" spans="1:30">
      <c r="A19" s="62" t="s">
        <v>7</v>
      </c>
      <c r="B19" s="23"/>
      <c r="C19" s="63"/>
      <c r="D19" s="63">
        <f>D18/C18-1</f>
        <v>-2.4691358024691357E-2</v>
      </c>
      <c r="E19" s="63">
        <f>E18/D18-1</f>
        <v>0</v>
      </c>
      <c r="F19" s="63">
        <f>F18/E18-1</f>
        <v>1.2658227848101333E-2</v>
      </c>
      <c r="G19" s="23"/>
      <c r="H19" s="149">
        <v>-1.2499999999999956E-2</v>
      </c>
      <c r="I19" s="63">
        <v>3.7974683544303778E-2</v>
      </c>
      <c r="J19" s="63">
        <v>-6.9105691056910556E-2</v>
      </c>
      <c r="K19" s="63">
        <v>6.5502183406113579E-2</v>
      </c>
      <c r="L19" s="23"/>
      <c r="M19" s="63">
        <v>-4.0983606557377095E-2</v>
      </c>
      <c r="N19" s="63">
        <v>5.9829059829059839E-2</v>
      </c>
      <c r="O19" s="63">
        <v>-0.14919354838709675</v>
      </c>
      <c r="P19" s="310"/>
      <c r="Q19" s="63">
        <v>9.004739336492884E-2</v>
      </c>
      <c r="R19" s="23"/>
      <c r="S19" s="63">
        <v>4.3478260869564966E-3</v>
      </c>
      <c r="T19" s="63">
        <v>-9.0909090909090939E-2</v>
      </c>
      <c r="U19" s="63">
        <v>-7.1428571428571397E-2</v>
      </c>
      <c r="V19" s="310"/>
      <c r="W19" s="63">
        <v>0.1333333333333333</v>
      </c>
      <c r="X19" s="23"/>
      <c r="Y19" s="63">
        <v>-4.0723981900452455E-2</v>
      </c>
      <c r="Z19" s="63">
        <v>-4.2452830188679291E-2</v>
      </c>
      <c r="AA19" s="63">
        <v>-2.4630541871921152E-2</v>
      </c>
      <c r="AB19" s="310"/>
      <c r="AC19" s="63">
        <v>0.1212121212121211</v>
      </c>
      <c r="AD19" s="23"/>
    </row>
    <row r="20" spans="1:30">
      <c r="A20" s="62" t="s">
        <v>8</v>
      </c>
      <c r="B20" s="23"/>
      <c r="C20" s="64"/>
      <c r="D20" s="64"/>
      <c r="E20" s="64"/>
      <c r="F20" s="64"/>
      <c r="G20" s="23">
        <v>1.0559662090813049E-2</v>
      </c>
      <c r="H20" s="148">
        <v>-2.4691358024691357E-2</v>
      </c>
      <c r="I20" s="64">
        <v>3.7974683544303778E-2</v>
      </c>
      <c r="J20" s="64">
        <v>-3.3755274261603407E-2</v>
      </c>
      <c r="K20" s="64">
        <v>1.6666666666666607E-2</v>
      </c>
      <c r="L20" s="23">
        <v>-1.0449320794148065E-3</v>
      </c>
      <c r="M20" s="64">
        <v>-1.2658227848101222E-2</v>
      </c>
      <c r="N20" s="64">
        <v>8.1300813008129413E-3</v>
      </c>
      <c r="O20" s="64">
        <v>-7.8602620087336206E-2</v>
      </c>
      <c r="P20" s="311"/>
      <c r="Q20" s="64">
        <v>-5.7377049180327822E-2</v>
      </c>
      <c r="R20" s="23">
        <v>-3.451882845188281E-2</v>
      </c>
      <c r="S20" s="64">
        <v>-1.2820512820512775E-2</v>
      </c>
      <c r="T20" s="64">
        <v>-0.15322580645161288</v>
      </c>
      <c r="U20" s="64">
        <v>-7.582938388625593E-2</v>
      </c>
      <c r="V20" s="311">
        <v>-8.2251082251082241E-2</v>
      </c>
      <c r="W20" s="64">
        <v>-3.9130434782608692E-2</v>
      </c>
      <c r="X20" s="23">
        <v>-7.1505958829902516E-2</v>
      </c>
      <c r="Y20" s="64">
        <v>-8.2251082251082241E-2</v>
      </c>
      <c r="Z20" s="64">
        <v>-3.3333333333333326E-2</v>
      </c>
      <c r="AA20" s="64">
        <v>1.538461538461533E-2</v>
      </c>
      <c r="AB20" s="311">
        <v>-3.6163522012578664E-2</v>
      </c>
      <c r="AC20" s="64">
        <v>4.5248868778280382E-3</v>
      </c>
      <c r="AD20" s="23">
        <v>-2.5670945157526215E-2</v>
      </c>
    </row>
    <row r="21" spans="1:30">
      <c r="A21" s="60" t="s">
        <v>190</v>
      </c>
      <c r="B21" s="55" t="s">
        <v>114</v>
      </c>
      <c r="C21" s="165" t="s">
        <v>114</v>
      </c>
      <c r="D21" s="165" t="s">
        <v>114</v>
      </c>
      <c r="E21" s="165" t="s">
        <v>114</v>
      </c>
      <c r="F21" s="165" t="s">
        <v>114</v>
      </c>
      <c r="G21" s="55">
        <v>0</v>
      </c>
      <c r="H21" s="165" t="s">
        <v>114</v>
      </c>
      <c r="I21" s="165" t="s">
        <v>114</v>
      </c>
      <c r="J21" s="165" t="s">
        <v>114</v>
      </c>
      <c r="K21" s="131">
        <v>1100</v>
      </c>
      <c r="L21" s="199">
        <v>1100</v>
      </c>
      <c r="M21" s="66">
        <v>0</v>
      </c>
      <c r="N21" s="66">
        <v>0</v>
      </c>
      <c r="O21" s="66">
        <v>0</v>
      </c>
      <c r="P21" s="309">
        <v>0</v>
      </c>
      <c r="Q21" s="66">
        <v>0</v>
      </c>
      <c r="R21" s="55">
        <v>0</v>
      </c>
      <c r="S21" s="66">
        <v>0</v>
      </c>
      <c r="T21" s="66">
        <v>0</v>
      </c>
      <c r="U21" s="66">
        <v>0</v>
      </c>
      <c r="V21" s="309">
        <v>0</v>
      </c>
      <c r="W21" s="66">
        <v>0</v>
      </c>
      <c r="X21" s="55">
        <v>0</v>
      </c>
      <c r="Y21" s="66">
        <v>0</v>
      </c>
      <c r="Z21" s="66">
        <v>0</v>
      </c>
      <c r="AA21" s="66">
        <v>0</v>
      </c>
      <c r="AB21" s="309">
        <v>0</v>
      </c>
      <c r="AC21" s="66">
        <v>0</v>
      </c>
      <c r="AD21" s="55">
        <v>0</v>
      </c>
    </row>
    <row r="22" spans="1:30">
      <c r="A22" s="60"/>
      <c r="B22" s="55"/>
      <c r="C22" s="165"/>
      <c r="D22" s="165"/>
      <c r="E22" s="165"/>
      <c r="F22" s="165"/>
      <c r="G22" s="55"/>
      <c r="H22" s="165"/>
      <c r="I22" s="165"/>
      <c r="J22" s="165"/>
      <c r="K22" s="131"/>
      <c r="L22" s="199"/>
      <c r="M22" s="165"/>
      <c r="N22" s="165"/>
      <c r="O22" s="165"/>
      <c r="P22" s="312"/>
      <c r="Q22" s="165"/>
      <c r="R22" s="55"/>
      <c r="S22" s="66"/>
      <c r="T22" s="165"/>
      <c r="U22" s="165"/>
      <c r="V22" s="312"/>
      <c r="W22" s="165"/>
      <c r="X22" s="55"/>
      <c r="Y22" s="66"/>
      <c r="Z22" s="165"/>
      <c r="AA22" s="165"/>
      <c r="AB22" s="312"/>
      <c r="AC22" s="165"/>
      <c r="AD22" s="55"/>
    </row>
    <row r="23" spans="1:30">
      <c r="A23" s="60" t="s">
        <v>206</v>
      </c>
      <c r="B23" s="159">
        <v>-11</v>
      </c>
      <c r="C23" s="165" t="s">
        <v>114</v>
      </c>
      <c r="D23" s="165" t="s">
        <v>114</v>
      </c>
      <c r="E23" s="165" t="s">
        <v>114</v>
      </c>
      <c r="F23" s="165" t="s">
        <v>114</v>
      </c>
      <c r="G23" s="55">
        <v>0</v>
      </c>
      <c r="H23" s="135">
        <v>2</v>
      </c>
      <c r="I23" s="165">
        <v>7</v>
      </c>
      <c r="J23" s="165" t="s">
        <v>114</v>
      </c>
      <c r="K23" s="135">
        <v>8</v>
      </c>
      <c r="L23" s="35">
        <v>17</v>
      </c>
      <c r="M23" s="135">
        <v>43</v>
      </c>
      <c r="N23" s="135">
        <v>-9</v>
      </c>
      <c r="O23" s="135">
        <v>1</v>
      </c>
      <c r="P23" s="312">
        <v>35</v>
      </c>
      <c r="Q23" s="61">
        <v>7</v>
      </c>
      <c r="R23" s="35">
        <v>42</v>
      </c>
      <c r="S23" s="66">
        <v>0</v>
      </c>
      <c r="T23" s="165">
        <v>-12</v>
      </c>
      <c r="U23" s="66">
        <v>0</v>
      </c>
      <c r="V23" s="312">
        <v>-12</v>
      </c>
      <c r="W23" s="165">
        <v>-3</v>
      </c>
      <c r="X23" s="159">
        <v>-15</v>
      </c>
      <c r="Y23" s="165">
        <v>-2</v>
      </c>
      <c r="Z23" s="66">
        <v>0</v>
      </c>
      <c r="AA23" s="66">
        <v>1</v>
      </c>
      <c r="AB23" s="312">
        <v>-1</v>
      </c>
      <c r="AC23" s="165">
        <v>13</v>
      </c>
      <c r="AD23" s="159">
        <v>12</v>
      </c>
    </row>
    <row r="24" spans="1:30">
      <c r="A24" s="60"/>
      <c r="B24" s="159"/>
      <c r="C24" s="165"/>
      <c r="D24" s="165"/>
      <c r="E24" s="165"/>
      <c r="F24" s="165"/>
      <c r="G24" s="55"/>
      <c r="H24" s="135"/>
      <c r="I24" s="165"/>
      <c r="J24" s="165"/>
      <c r="K24" s="135"/>
      <c r="L24" s="35"/>
      <c r="M24" s="135"/>
      <c r="N24" s="135"/>
      <c r="O24" s="135"/>
      <c r="P24" s="312"/>
      <c r="Q24" s="61"/>
      <c r="R24" s="35"/>
      <c r="S24" s="66"/>
      <c r="T24" s="165"/>
      <c r="U24" s="66"/>
      <c r="V24" s="312"/>
      <c r="W24" s="165"/>
      <c r="X24" s="159"/>
      <c r="Y24" s="66"/>
      <c r="Z24" s="165"/>
      <c r="AA24" s="66"/>
      <c r="AB24" s="312"/>
      <c r="AC24" s="165"/>
      <c r="AD24" s="159"/>
    </row>
    <row r="25" spans="1:30">
      <c r="A25" s="60" t="s">
        <v>357</v>
      </c>
      <c r="B25" s="159"/>
      <c r="C25" s="165"/>
      <c r="D25" s="165"/>
      <c r="E25" s="165"/>
      <c r="F25" s="165"/>
      <c r="G25" s="159">
        <v>1487</v>
      </c>
      <c r="H25" s="135"/>
      <c r="I25" s="165"/>
      <c r="J25" s="165"/>
      <c r="K25" s="135"/>
      <c r="L25" s="159">
        <v>1529</v>
      </c>
      <c r="M25" s="66">
        <v>388</v>
      </c>
      <c r="N25" s="66">
        <v>361</v>
      </c>
      <c r="O25" s="66">
        <v>314</v>
      </c>
      <c r="P25" s="309">
        <v>1063</v>
      </c>
      <c r="Q25" s="61">
        <v>337</v>
      </c>
      <c r="R25" s="159">
        <v>1400</v>
      </c>
      <c r="S25" s="66">
        <v>329</v>
      </c>
      <c r="T25" s="66">
        <v>296</v>
      </c>
      <c r="U25" s="66">
        <v>295</v>
      </c>
      <c r="V25" s="309">
        <v>920</v>
      </c>
      <c r="W25" s="61">
        <v>328</v>
      </c>
      <c r="X25" s="159">
        <v>1248</v>
      </c>
      <c r="Y25" s="66">
        <v>321</v>
      </c>
      <c r="Z25" s="66">
        <v>293</v>
      </c>
      <c r="AA25" s="66">
        <v>288</v>
      </c>
      <c r="AB25" s="309">
        <v>902</v>
      </c>
      <c r="AC25" s="61">
        <v>336</v>
      </c>
      <c r="AD25" s="159">
        <v>1238</v>
      </c>
    </row>
    <row r="26" spans="1:30" ht="7.5" customHeight="1">
      <c r="A26" s="328"/>
      <c r="B26" s="316"/>
      <c r="C26" s="316"/>
      <c r="D26" s="316"/>
      <c r="E26" s="316"/>
      <c r="F26" s="322"/>
      <c r="G26" s="316"/>
      <c r="H26" s="316"/>
      <c r="I26" s="316"/>
      <c r="J26" s="316"/>
      <c r="K26" s="322"/>
      <c r="L26" s="316"/>
      <c r="M26" s="316"/>
      <c r="N26" s="316"/>
      <c r="O26" s="316"/>
      <c r="P26" s="316"/>
      <c r="Q26" s="322"/>
      <c r="R26" s="316"/>
      <c r="S26" s="316"/>
      <c r="T26" s="316"/>
      <c r="U26" s="316"/>
      <c r="V26" s="316"/>
      <c r="W26" s="322"/>
      <c r="X26" s="316"/>
      <c r="Y26" s="316"/>
      <c r="Z26" s="316"/>
      <c r="AA26" s="316"/>
      <c r="AB26" s="316"/>
      <c r="AC26" s="322"/>
      <c r="AD26" s="316"/>
    </row>
    <row r="27" spans="1:30">
      <c r="A27" s="60" t="s">
        <v>204</v>
      </c>
      <c r="B27" s="35">
        <v>264</v>
      </c>
      <c r="C27" s="61">
        <v>52</v>
      </c>
      <c r="D27" s="61">
        <v>49</v>
      </c>
      <c r="E27" s="61">
        <v>35</v>
      </c>
      <c r="F27" s="61">
        <f>G27-E27-D27-C27</f>
        <v>27</v>
      </c>
      <c r="G27" s="159">
        <v>163</v>
      </c>
      <c r="H27" s="135">
        <v>-1</v>
      </c>
      <c r="I27" s="135">
        <v>-17</v>
      </c>
      <c r="J27" s="61">
        <v>1</v>
      </c>
      <c r="K27" s="135">
        <v>-1139</v>
      </c>
      <c r="L27" s="159">
        <v>-1156</v>
      </c>
      <c r="M27" s="165">
        <v>-45</v>
      </c>
      <c r="N27" s="165">
        <v>-24</v>
      </c>
      <c r="O27" s="165">
        <v>20</v>
      </c>
      <c r="P27" s="312">
        <v>-49</v>
      </c>
      <c r="Q27" s="135">
        <v>-6</v>
      </c>
      <c r="R27" s="159">
        <v>-55</v>
      </c>
      <c r="S27" s="165">
        <v>9</v>
      </c>
      <c r="T27" s="165">
        <v>23</v>
      </c>
      <c r="U27" s="165">
        <v>18</v>
      </c>
      <c r="V27" s="312">
        <v>50</v>
      </c>
      <c r="W27" s="135">
        <v>-11</v>
      </c>
      <c r="X27" s="159">
        <v>39</v>
      </c>
      <c r="Y27" s="165">
        <v>-6</v>
      </c>
      <c r="Z27" s="165">
        <v>22</v>
      </c>
      <c r="AA27" s="165">
        <v>30</v>
      </c>
      <c r="AB27" s="312">
        <v>46</v>
      </c>
      <c r="AC27" s="135">
        <v>-14</v>
      </c>
      <c r="AD27" s="159">
        <v>32</v>
      </c>
    </row>
    <row r="28" spans="1:30">
      <c r="A28" s="62" t="s">
        <v>7</v>
      </c>
      <c r="B28" s="23"/>
      <c r="C28" s="63"/>
      <c r="D28" s="63">
        <f>D27/C27-1</f>
        <v>-5.7692307692307709E-2</v>
      </c>
      <c r="E28" s="63">
        <f>E27/D27-1</f>
        <v>-0.2857142857142857</v>
      </c>
      <c r="F28" s="63">
        <f>F27/E27-1</f>
        <v>-0.22857142857142854</v>
      </c>
      <c r="G28" s="23"/>
      <c r="H28" s="75" t="s">
        <v>34</v>
      </c>
      <c r="I28" s="63">
        <v>16</v>
      </c>
      <c r="J28" s="75" t="s">
        <v>34</v>
      </c>
      <c r="K28" s="75" t="s">
        <v>34</v>
      </c>
      <c r="L28" s="23"/>
      <c r="M28" s="75" t="s">
        <v>34</v>
      </c>
      <c r="N28" s="63">
        <v>-0.46666666666666667</v>
      </c>
      <c r="O28" s="75" t="s">
        <v>34</v>
      </c>
      <c r="P28" s="313"/>
      <c r="Q28" s="75" t="s">
        <v>34</v>
      </c>
      <c r="R28" s="23"/>
      <c r="S28" s="75" t="s">
        <v>34</v>
      </c>
      <c r="T28" s="63">
        <v>1.5555555555555554</v>
      </c>
      <c r="U28" s="63">
        <v>-0.21739130434782605</v>
      </c>
      <c r="V28" s="313"/>
      <c r="W28" s="75" t="s">
        <v>34</v>
      </c>
      <c r="X28" s="23"/>
      <c r="Y28" s="63">
        <v>-0.45454545454545459</v>
      </c>
      <c r="Z28" s="75" t="s">
        <v>34</v>
      </c>
      <c r="AA28" s="63">
        <v>0.36363636363636354</v>
      </c>
      <c r="AB28" s="313"/>
      <c r="AC28" s="75" t="s">
        <v>34</v>
      </c>
      <c r="AD28" s="23"/>
    </row>
    <row r="29" spans="1:30">
      <c r="A29" s="62" t="s">
        <v>8</v>
      </c>
      <c r="B29" s="23"/>
      <c r="C29" s="64"/>
      <c r="D29" s="64"/>
      <c r="E29" s="64"/>
      <c r="F29" s="64"/>
      <c r="G29" s="23">
        <v>-0.38257575757575757</v>
      </c>
      <c r="H29" s="75" t="s">
        <v>34</v>
      </c>
      <c r="I29" s="75" t="s">
        <v>34</v>
      </c>
      <c r="J29" s="64">
        <v>-0.97142857142857142</v>
      </c>
      <c r="K29" s="75" t="s">
        <v>34</v>
      </c>
      <c r="L29" s="82" t="s">
        <v>34</v>
      </c>
      <c r="M29" s="75">
        <v>44</v>
      </c>
      <c r="N29" s="64">
        <v>0.41176470588235303</v>
      </c>
      <c r="O29" s="64">
        <v>19</v>
      </c>
      <c r="P29" s="311"/>
      <c r="Q29" s="75">
        <v>-0.99473222124670768</v>
      </c>
      <c r="R29" s="82">
        <v>-0.95242214532871972</v>
      </c>
      <c r="S29" s="75" t="s">
        <v>34</v>
      </c>
      <c r="T29" s="73" t="s">
        <v>34</v>
      </c>
      <c r="U29" s="64">
        <v>-9.9999999999999978E-2</v>
      </c>
      <c r="V29" s="311" t="s">
        <v>34</v>
      </c>
      <c r="W29" s="75">
        <v>0.83333333333333326</v>
      </c>
      <c r="X29" s="82">
        <v>-1.709090909090909</v>
      </c>
      <c r="Y29" s="75" t="s">
        <v>34</v>
      </c>
      <c r="Z29" s="64">
        <v>-4.3478260869565188E-2</v>
      </c>
      <c r="AA29" s="64">
        <v>0.66666666666666674</v>
      </c>
      <c r="AB29" s="311">
        <v>-7.999999999999996E-2</v>
      </c>
      <c r="AC29" s="75">
        <v>0.27272727272727271</v>
      </c>
      <c r="AD29" s="82">
        <v>-0.17948717948717952</v>
      </c>
    </row>
    <row r="30" spans="1:30">
      <c r="A30" s="60" t="s">
        <v>67</v>
      </c>
      <c r="B30" s="35">
        <v>58</v>
      </c>
      <c r="C30" s="61">
        <v>27</v>
      </c>
      <c r="D30" s="61">
        <v>32</v>
      </c>
      <c r="E30" s="135">
        <v>-1</v>
      </c>
      <c r="F30" s="61">
        <f>G30-E30-D30-C30</f>
        <v>13</v>
      </c>
      <c r="G30" s="35">
        <v>71</v>
      </c>
      <c r="H30" s="135">
        <v>-3</v>
      </c>
      <c r="I30" s="135">
        <v>-7</v>
      </c>
      <c r="J30" s="135">
        <v>3</v>
      </c>
      <c r="K30" s="135">
        <v>-4</v>
      </c>
      <c r="L30" s="159">
        <v>-11</v>
      </c>
      <c r="M30" s="135">
        <v>5</v>
      </c>
      <c r="N30" s="135">
        <v>2</v>
      </c>
      <c r="O30" s="135">
        <v>4</v>
      </c>
      <c r="P30" s="312">
        <v>11</v>
      </c>
      <c r="Q30" s="135">
        <v>1</v>
      </c>
      <c r="R30" s="159">
        <v>12</v>
      </c>
      <c r="S30" s="135">
        <v>-5</v>
      </c>
      <c r="T30" s="135">
        <v>4</v>
      </c>
      <c r="U30" s="135">
        <v>1</v>
      </c>
      <c r="V30" s="312">
        <v>0</v>
      </c>
      <c r="W30" s="135">
        <v>13</v>
      </c>
      <c r="X30" s="159">
        <v>13</v>
      </c>
      <c r="Y30" s="135">
        <v>-7</v>
      </c>
      <c r="Z30" s="135">
        <v>4</v>
      </c>
      <c r="AA30" s="135">
        <v>1</v>
      </c>
      <c r="AB30" s="312">
        <v>-2</v>
      </c>
      <c r="AC30" s="135">
        <v>3</v>
      </c>
      <c r="AD30" s="159">
        <v>1</v>
      </c>
    </row>
    <row r="31" spans="1:30">
      <c r="A31" s="62" t="s">
        <v>7</v>
      </c>
      <c r="B31" s="23"/>
      <c r="C31" s="63"/>
      <c r="D31" s="63">
        <f>D30/C30-1</f>
        <v>0.18518518518518512</v>
      </c>
      <c r="E31" s="75" t="s">
        <v>34</v>
      </c>
      <c r="F31" s="75" t="s">
        <v>34</v>
      </c>
      <c r="G31" s="23"/>
      <c r="H31" s="73" t="s">
        <v>34</v>
      </c>
      <c r="I31" s="63">
        <v>1.3333333333333335</v>
      </c>
      <c r="J31" s="75" t="s">
        <v>34</v>
      </c>
      <c r="K31" s="75" t="s">
        <v>34</v>
      </c>
      <c r="L31" s="23"/>
      <c r="M31" s="73" t="s">
        <v>34</v>
      </c>
      <c r="N31" s="63">
        <v>-0.6</v>
      </c>
      <c r="O31" s="63">
        <v>1</v>
      </c>
      <c r="P31" s="310"/>
      <c r="Q31" s="63">
        <v>-0.75</v>
      </c>
      <c r="R31" s="23"/>
      <c r="S31" s="75" t="s">
        <v>34</v>
      </c>
      <c r="T31" s="73" t="s">
        <v>34</v>
      </c>
      <c r="U31" s="63">
        <v>-0.75</v>
      </c>
      <c r="V31" s="310"/>
      <c r="W31" s="63">
        <v>12</v>
      </c>
      <c r="X31" s="23"/>
      <c r="Y31" s="75" t="s">
        <v>34</v>
      </c>
      <c r="Z31" s="73" t="s">
        <v>34</v>
      </c>
      <c r="AA31" s="63">
        <v>-0.75</v>
      </c>
      <c r="AB31" s="310"/>
      <c r="AC31" s="63">
        <v>2</v>
      </c>
      <c r="AD31" s="23"/>
    </row>
    <row r="32" spans="1:30">
      <c r="A32" s="62" t="s">
        <v>8</v>
      </c>
      <c r="B32" s="23"/>
      <c r="C32" s="64"/>
      <c r="D32" s="64"/>
      <c r="E32" s="75"/>
      <c r="F32" s="64"/>
      <c r="G32" s="23">
        <v>0.22413793103448265</v>
      </c>
      <c r="H32" s="73" t="s">
        <v>34</v>
      </c>
      <c r="I32" s="75" t="s">
        <v>34</v>
      </c>
      <c r="J32" s="75" t="s">
        <v>34</v>
      </c>
      <c r="K32" s="75" t="s">
        <v>34</v>
      </c>
      <c r="L32" s="82" t="s">
        <v>34</v>
      </c>
      <c r="M32" s="73" t="s">
        <v>34</v>
      </c>
      <c r="N32" s="73" t="s">
        <v>34</v>
      </c>
      <c r="O32" s="64">
        <v>0.33333333333333326</v>
      </c>
      <c r="P32" s="343"/>
      <c r="Q32" s="75" t="s">
        <v>34</v>
      </c>
      <c r="R32" s="82" t="s">
        <v>34</v>
      </c>
      <c r="S32" s="75" t="s">
        <v>34</v>
      </c>
      <c r="T32" s="64">
        <v>1</v>
      </c>
      <c r="U32" s="64">
        <v>-0.75</v>
      </c>
      <c r="V32" s="343" t="s">
        <v>34</v>
      </c>
      <c r="W32" s="75">
        <v>12</v>
      </c>
      <c r="X32" s="82" t="s">
        <v>34</v>
      </c>
      <c r="Y32" s="64">
        <v>0.39999999999999991</v>
      </c>
      <c r="Z32" s="64">
        <v>0</v>
      </c>
      <c r="AA32" s="64">
        <v>0</v>
      </c>
      <c r="AB32" s="343" t="s">
        <v>34</v>
      </c>
      <c r="AC32" s="75">
        <v>-0.76923076923076916</v>
      </c>
      <c r="AD32" s="82">
        <v>-0.92307692307692313</v>
      </c>
    </row>
    <row r="33" spans="1:30">
      <c r="A33" s="60" t="s">
        <v>260</v>
      </c>
      <c r="B33" s="159">
        <v>68</v>
      </c>
      <c r="C33" s="165">
        <v>19</v>
      </c>
      <c r="D33" s="165">
        <v>-151</v>
      </c>
      <c r="E33" s="165">
        <v>-123</v>
      </c>
      <c r="F33" s="165">
        <f>G33-E33-D33-C33</f>
        <v>11</v>
      </c>
      <c r="G33" s="159">
        <v>-244</v>
      </c>
      <c r="H33" s="165">
        <v>1</v>
      </c>
      <c r="I33" s="165">
        <v>-10</v>
      </c>
      <c r="J33" s="165">
        <v>-2</v>
      </c>
      <c r="K33" s="165">
        <v>-1137</v>
      </c>
      <c r="L33" s="159">
        <v>-1148</v>
      </c>
      <c r="M33" s="165">
        <v>-50</v>
      </c>
      <c r="N33" s="165">
        <v>-27</v>
      </c>
      <c r="O33" s="165">
        <v>15</v>
      </c>
      <c r="P33" s="312">
        <v>-62</v>
      </c>
      <c r="Q33" s="165">
        <v>-7</v>
      </c>
      <c r="R33" s="159">
        <v>-69</v>
      </c>
      <c r="S33" s="165">
        <v>14</v>
      </c>
      <c r="T33" s="165">
        <v>18</v>
      </c>
      <c r="U33" s="165">
        <v>16</v>
      </c>
      <c r="V33" s="312">
        <v>48</v>
      </c>
      <c r="W33" s="165">
        <v>-24</v>
      </c>
      <c r="X33" s="159">
        <v>24</v>
      </c>
      <c r="Y33" s="66">
        <v>0</v>
      </c>
      <c r="Z33" s="165">
        <v>18</v>
      </c>
      <c r="AA33" s="165">
        <v>29</v>
      </c>
      <c r="AB33" s="312">
        <v>47</v>
      </c>
      <c r="AC33" s="165">
        <v>-17</v>
      </c>
      <c r="AD33" s="159">
        <v>30</v>
      </c>
    </row>
    <row r="34" spans="1:30">
      <c r="A34" s="62" t="s">
        <v>7</v>
      </c>
      <c r="B34" s="23"/>
      <c r="C34" s="63"/>
      <c r="D34" s="75" t="s">
        <v>34</v>
      </c>
      <c r="E34" s="63">
        <f>E33/D33-1</f>
        <v>-0.18543046357615889</v>
      </c>
      <c r="F34" s="63">
        <f>F33/E33-1</f>
        <v>-1.089430894308943</v>
      </c>
      <c r="G34" s="23"/>
      <c r="H34" s="63">
        <v>-0.90909090909090906</v>
      </c>
      <c r="I34" s="75" t="s">
        <v>34</v>
      </c>
      <c r="J34" s="63">
        <v>-0.8</v>
      </c>
      <c r="K34" s="75" t="s">
        <v>34</v>
      </c>
      <c r="L34" s="23"/>
      <c r="M34" s="63">
        <v>-0.95602462620932283</v>
      </c>
      <c r="N34" s="63">
        <v>-0.45999999999999996</v>
      </c>
      <c r="O34" s="75" t="s">
        <v>34</v>
      </c>
      <c r="P34" s="313"/>
      <c r="Q34" s="75" t="s">
        <v>34</v>
      </c>
      <c r="R34" s="23"/>
      <c r="S34" s="75" t="s">
        <v>34</v>
      </c>
      <c r="T34" s="63">
        <v>0.28571428571428581</v>
      </c>
      <c r="U34" s="63">
        <v>-0.11111111111111116</v>
      </c>
      <c r="V34" s="313"/>
      <c r="W34" s="75" t="s">
        <v>34</v>
      </c>
      <c r="X34" s="23"/>
      <c r="Y34" s="75" t="s">
        <v>34</v>
      </c>
      <c r="Z34" s="73" t="s">
        <v>34</v>
      </c>
      <c r="AA34" s="63">
        <v>0.61111111111111116</v>
      </c>
      <c r="AB34" s="313"/>
      <c r="AC34" s="75" t="s">
        <v>34</v>
      </c>
      <c r="AD34" s="23"/>
    </row>
    <row r="35" spans="1:30">
      <c r="A35" s="62" t="s">
        <v>8</v>
      </c>
      <c r="B35" s="82"/>
      <c r="C35" s="73"/>
      <c r="D35" s="64"/>
      <c r="E35" s="64"/>
      <c r="F35" s="64"/>
      <c r="G35" s="82" t="s">
        <v>34</v>
      </c>
      <c r="H35" s="64">
        <v>-0.94736842105263164</v>
      </c>
      <c r="I35" s="64">
        <v>-0.93377483443708609</v>
      </c>
      <c r="J35" s="64">
        <v>-0.98373983739837401</v>
      </c>
      <c r="K35" s="75" t="s">
        <v>34</v>
      </c>
      <c r="L35" s="23">
        <v>3.7049180327868854</v>
      </c>
      <c r="M35" s="73" t="s">
        <v>34</v>
      </c>
      <c r="N35" s="64">
        <v>1.7000000000000002</v>
      </c>
      <c r="O35" s="75" t="s">
        <v>34</v>
      </c>
      <c r="P35" s="311"/>
      <c r="Q35" s="75">
        <v>-0.99384344766930521</v>
      </c>
      <c r="R35" s="23">
        <v>-0.93989547038327526</v>
      </c>
      <c r="S35" s="75" t="s">
        <v>34</v>
      </c>
      <c r="T35" s="73" t="s">
        <v>34</v>
      </c>
      <c r="U35" s="64">
        <v>6.6666666666666652E-2</v>
      </c>
      <c r="V35" s="311" t="s">
        <v>34</v>
      </c>
      <c r="W35" s="75">
        <v>2.4285714285714284</v>
      </c>
      <c r="X35" s="23">
        <v>-1.3478260869565217</v>
      </c>
      <c r="Y35" s="75" t="s">
        <v>34</v>
      </c>
      <c r="Z35" s="64">
        <v>0</v>
      </c>
      <c r="AA35" s="64">
        <v>0.8125</v>
      </c>
      <c r="AB35" s="311">
        <v>-2.083333333333337E-2</v>
      </c>
      <c r="AC35" s="75">
        <v>-0.29166666666666663</v>
      </c>
      <c r="AD35" s="23">
        <v>0.25</v>
      </c>
    </row>
    <row r="36" spans="1:30">
      <c r="A36" s="60" t="s">
        <v>197</v>
      </c>
      <c r="B36" s="35">
        <f>B12+B27</f>
        <v>560</v>
      </c>
      <c r="C36" s="67">
        <f>C27+C12</f>
        <v>122</v>
      </c>
      <c r="D36" s="67">
        <f>D27+D12</f>
        <v>120</v>
      </c>
      <c r="E36" s="67">
        <f>E27+E12</f>
        <v>107</v>
      </c>
      <c r="F36" s="61">
        <f>G36-E36-D36-C36</f>
        <v>99</v>
      </c>
      <c r="G36" s="35">
        <v>448</v>
      </c>
      <c r="H36" s="67">
        <v>78</v>
      </c>
      <c r="I36" s="67">
        <v>62</v>
      </c>
      <c r="J36" s="67">
        <v>82</v>
      </c>
      <c r="K36" s="165">
        <v>-1055</v>
      </c>
      <c r="L36" s="159">
        <v>-833</v>
      </c>
      <c r="M36" s="67">
        <v>10</v>
      </c>
      <c r="N36" s="67">
        <v>44</v>
      </c>
      <c r="O36" s="67">
        <v>70</v>
      </c>
      <c r="P36" s="309">
        <v>124</v>
      </c>
      <c r="Q36" s="165">
        <v>40</v>
      </c>
      <c r="R36" s="159">
        <v>164</v>
      </c>
      <c r="S36" s="67">
        <v>53</v>
      </c>
      <c r="T36" s="67">
        <v>73</v>
      </c>
      <c r="U36" s="67">
        <v>68</v>
      </c>
      <c r="V36" s="309">
        <v>194</v>
      </c>
      <c r="W36" s="165">
        <v>48</v>
      </c>
      <c r="X36" s="159">
        <v>242</v>
      </c>
      <c r="Y36" s="67">
        <v>55</v>
      </c>
      <c r="Z36" s="67">
        <v>67</v>
      </c>
      <c r="AA36" s="67">
        <v>75</v>
      </c>
      <c r="AB36" s="309">
        <v>197</v>
      </c>
      <c r="AC36" s="165">
        <v>38</v>
      </c>
      <c r="AD36" s="159">
        <v>235</v>
      </c>
    </row>
    <row r="37" spans="1:30">
      <c r="A37" s="62" t="s">
        <v>7</v>
      </c>
      <c r="B37" s="23"/>
      <c r="C37" s="63"/>
      <c r="D37" s="63">
        <f>D36/C36-1</f>
        <v>-1.6393442622950838E-2</v>
      </c>
      <c r="E37" s="63">
        <f>E36/D36-1</f>
        <v>-0.10833333333333328</v>
      </c>
      <c r="F37" s="63">
        <f>F36/E36-1</f>
        <v>-7.4766355140186924E-2</v>
      </c>
      <c r="G37" s="23"/>
      <c r="H37" s="63">
        <v>-0.21212121212121215</v>
      </c>
      <c r="I37" s="63">
        <v>-0.20512820512820518</v>
      </c>
      <c r="J37" s="63">
        <v>0.32258064516129026</v>
      </c>
      <c r="K37" s="75" t="s">
        <v>34</v>
      </c>
      <c r="L37" s="23"/>
      <c r="M37" s="73" t="s">
        <v>34</v>
      </c>
      <c r="N37" s="63">
        <v>3.4000000000000004</v>
      </c>
      <c r="O37" s="63">
        <v>0.59090909090909083</v>
      </c>
      <c r="P37" s="310"/>
      <c r="Q37" s="63">
        <v>-0.4285714285714286</v>
      </c>
      <c r="R37" s="23"/>
      <c r="S37" s="63">
        <v>0.32499999999999996</v>
      </c>
      <c r="T37" s="63">
        <v>0.37735849056603765</v>
      </c>
      <c r="U37" s="63">
        <v>-6.8493150684931559E-2</v>
      </c>
      <c r="V37" s="310"/>
      <c r="W37" s="63">
        <v>-0.29411764705882348</v>
      </c>
      <c r="X37" s="23"/>
      <c r="Y37" s="63">
        <v>0.14583333333333326</v>
      </c>
      <c r="Z37" s="63">
        <v>0.21818181818181825</v>
      </c>
      <c r="AA37" s="63">
        <v>0.11940298507462677</v>
      </c>
      <c r="AB37" s="310"/>
      <c r="AC37" s="63">
        <v>-0.49333333333333329</v>
      </c>
      <c r="AD37" s="23"/>
    </row>
    <row r="38" spans="1:30">
      <c r="A38" s="62" t="s">
        <v>8</v>
      </c>
      <c r="B38" s="23"/>
      <c r="C38" s="64"/>
      <c r="D38" s="64"/>
      <c r="E38" s="64"/>
      <c r="F38" s="64"/>
      <c r="G38" s="23">
        <v>-0.19999999999999996</v>
      </c>
      <c r="H38" s="64">
        <v>-0.36065573770491799</v>
      </c>
      <c r="I38" s="64">
        <v>-0.48333333333333328</v>
      </c>
      <c r="J38" s="64">
        <v>-0.23364485981308414</v>
      </c>
      <c r="K38" s="75" t="s">
        <v>34</v>
      </c>
      <c r="L38" s="82" t="s">
        <v>34</v>
      </c>
      <c r="M38" s="64">
        <v>-0.87179487179487181</v>
      </c>
      <c r="N38" s="64">
        <v>-0.29032258064516125</v>
      </c>
      <c r="O38" s="64">
        <v>-0.14634146341463417</v>
      </c>
      <c r="P38" s="311"/>
      <c r="Q38" s="75" t="s">
        <v>34</v>
      </c>
      <c r="R38" s="82" t="s">
        <v>34</v>
      </c>
      <c r="S38" s="64">
        <v>4.3</v>
      </c>
      <c r="T38" s="64">
        <v>0.65909090909090917</v>
      </c>
      <c r="U38" s="64">
        <v>-2.8571428571428581E-2</v>
      </c>
      <c r="V38" s="311">
        <v>0.56451612903225801</v>
      </c>
      <c r="W38" s="75">
        <v>0.19999999999999996</v>
      </c>
      <c r="X38" s="23">
        <v>0.47560975609756095</v>
      </c>
      <c r="Y38" s="64">
        <v>3.7735849056603765E-2</v>
      </c>
      <c r="Z38" s="64">
        <v>-8.2191780821917804E-2</v>
      </c>
      <c r="AA38" s="64">
        <v>0.10294117647058831</v>
      </c>
      <c r="AB38" s="311">
        <v>1.5463917525773141E-2</v>
      </c>
      <c r="AC38" s="75">
        <v>-0.20833333333333337</v>
      </c>
      <c r="AD38" s="23">
        <v>-2.8925619834710758E-2</v>
      </c>
    </row>
    <row r="39" spans="1:30">
      <c r="A39" s="79" t="s">
        <v>290</v>
      </c>
      <c r="B39" s="159">
        <f>B36+B23</f>
        <v>549</v>
      </c>
      <c r="C39" s="165" t="s">
        <v>114</v>
      </c>
      <c r="D39" s="165" t="s">
        <v>114</v>
      </c>
      <c r="E39" s="165" t="s">
        <v>114</v>
      </c>
      <c r="F39" s="165" t="s">
        <v>114</v>
      </c>
      <c r="G39" s="159">
        <v>448</v>
      </c>
      <c r="H39" s="67">
        <v>80</v>
      </c>
      <c r="I39" s="67">
        <v>69</v>
      </c>
      <c r="J39" s="67">
        <v>82</v>
      </c>
      <c r="K39" s="206">
        <v>53</v>
      </c>
      <c r="L39" s="159">
        <v>284</v>
      </c>
      <c r="M39" s="67">
        <v>53</v>
      </c>
      <c r="N39" s="67">
        <v>35</v>
      </c>
      <c r="O39" s="67">
        <v>71</v>
      </c>
      <c r="P39" s="309">
        <v>159</v>
      </c>
      <c r="Q39" s="206">
        <v>47</v>
      </c>
      <c r="R39" s="159">
        <v>206</v>
      </c>
      <c r="S39" s="67">
        <v>53</v>
      </c>
      <c r="T39" s="67">
        <v>61</v>
      </c>
      <c r="U39" s="67">
        <v>68</v>
      </c>
      <c r="V39" s="309">
        <v>182</v>
      </c>
      <c r="W39" s="206">
        <v>45</v>
      </c>
      <c r="X39" s="159">
        <v>227</v>
      </c>
      <c r="Y39" s="67">
        <v>53</v>
      </c>
      <c r="Z39" s="67">
        <v>68</v>
      </c>
      <c r="AA39" s="67">
        <v>76</v>
      </c>
      <c r="AB39" s="309">
        <v>197</v>
      </c>
      <c r="AC39" s="206">
        <v>50</v>
      </c>
      <c r="AD39" s="159">
        <v>247</v>
      </c>
    </row>
    <row r="40" spans="1:30">
      <c r="A40" s="60"/>
      <c r="B40" s="21"/>
      <c r="C40" s="64"/>
      <c r="D40" s="64"/>
      <c r="E40" s="64"/>
      <c r="F40" s="64"/>
      <c r="G40" s="21"/>
      <c r="H40" s="64"/>
      <c r="I40" s="64"/>
      <c r="J40" s="64"/>
      <c r="K40" s="64"/>
      <c r="L40" s="21"/>
      <c r="M40" s="64"/>
      <c r="N40" s="64"/>
      <c r="O40" s="64"/>
      <c r="P40" s="311"/>
      <c r="Q40" s="64"/>
      <c r="R40" s="21"/>
      <c r="S40" s="64"/>
      <c r="T40" s="64"/>
      <c r="U40" s="64"/>
      <c r="V40" s="311"/>
      <c r="W40" s="64"/>
      <c r="X40" s="21"/>
      <c r="Y40" s="64"/>
      <c r="Z40" s="64"/>
      <c r="AA40" s="64"/>
      <c r="AB40" s="311"/>
      <c r="AC40" s="64"/>
      <c r="AD40" s="21"/>
    </row>
    <row r="41" spans="1:30">
      <c r="A41" s="328" t="s">
        <v>24</v>
      </c>
      <c r="B41" s="322"/>
      <c r="C41" s="342"/>
      <c r="D41" s="342"/>
      <c r="E41" s="342"/>
      <c r="F41" s="342"/>
      <c r="G41" s="322"/>
      <c r="H41" s="342"/>
      <c r="I41" s="342"/>
      <c r="J41" s="342"/>
      <c r="K41" s="342"/>
      <c r="L41" s="322"/>
      <c r="M41" s="342"/>
      <c r="N41" s="342"/>
      <c r="O41" s="342"/>
      <c r="P41" s="342"/>
      <c r="Q41" s="342"/>
      <c r="R41" s="322"/>
      <c r="S41" s="342"/>
      <c r="T41" s="342"/>
      <c r="U41" s="342"/>
      <c r="V41" s="342"/>
      <c r="W41" s="342"/>
      <c r="X41" s="322"/>
      <c r="Y41" s="342"/>
      <c r="Z41" s="342"/>
      <c r="AA41" s="342"/>
      <c r="AB41" s="342"/>
      <c r="AC41" s="342"/>
      <c r="AD41" s="322"/>
    </row>
    <row r="42" spans="1:30">
      <c r="A42" s="60" t="s">
        <v>12</v>
      </c>
      <c r="B42" s="35">
        <v>629</v>
      </c>
      <c r="C42" s="61">
        <v>51</v>
      </c>
      <c r="D42" s="61">
        <v>169</v>
      </c>
      <c r="E42" s="61">
        <v>115</v>
      </c>
      <c r="F42" s="61">
        <f>G42-E42-D42-C42</f>
        <v>95</v>
      </c>
      <c r="G42" s="35">
        <v>430</v>
      </c>
      <c r="H42" s="61">
        <v>86</v>
      </c>
      <c r="I42" s="61">
        <v>60</v>
      </c>
      <c r="J42" s="61">
        <v>34</v>
      </c>
      <c r="K42" s="61">
        <v>46</v>
      </c>
      <c r="L42" s="35">
        <v>226</v>
      </c>
      <c r="M42" s="61">
        <v>53</v>
      </c>
      <c r="N42" s="61">
        <v>22</v>
      </c>
      <c r="O42" s="61">
        <v>37</v>
      </c>
      <c r="P42" s="309">
        <v>112</v>
      </c>
      <c r="Q42" s="61">
        <v>31</v>
      </c>
      <c r="R42" s="35">
        <v>143</v>
      </c>
      <c r="S42" s="61">
        <v>41</v>
      </c>
      <c r="T42" s="61">
        <v>39</v>
      </c>
      <c r="U42" s="61">
        <v>69</v>
      </c>
      <c r="V42" s="309">
        <v>149</v>
      </c>
      <c r="W42" s="61">
        <v>14</v>
      </c>
      <c r="X42" s="35">
        <v>163</v>
      </c>
      <c r="Y42" s="61">
        <v>62</v>
      </c>
      <c r="Z42" s="61">
        <v>56</v>
      </c>
      <c r="AA42" s="61">
        <v>73</v>
      </c>
      <c r="AB42" s="309">
        <v>191</v>
      </c>
      <c r="AC42" s="61">
        <v>42</v>
      </c>
      <c r="AD42" s="35">
        <v>233</v>
      </c>
    </row>
    <row r="43" spans="1:30">
      <c r="A43" s="72" t="s">
        <v>7</v>
      </c>
      <c r="B43" s="23"/>
      <c r="C43" s="63"/>
      <c r="D43" s="63">
        <f>D42/C42-1</f>
        <v>2.3137254901960786</v>
      </c>
      <c r="E43" s="63">
        <f>E42/D42-1</f>
        <v>-0.31952662721893488</v>
      </c>
      <c r="F43" s="63">
        <f>F42/E42-1</f>
        <v>-0.17391304347826086</v>
      </c>
      <c r="G43" s="23"/>
      <c r="H43" s="63">
        <v>-9.4736842105263119E-2</v>
      </c>
      <c r="I43" s="63">
        <v>-0.30232558139534882</v>
      </c>
      <c r="J43" s="63">
        <v>-0.43333333333333335</v>
      </c>
      <c r="K43" s="63">
        <v>0.35294117647058831</v>
      </c>
      <c r="L43" s="23"/>
      <c r="M43" s="63">
        <v>0.15217391304347827</v>
      </c>
      <c r="N43" s="63">
        <v>-0.58490566037735847</v>
      </c>
      <c r="O43" s="63">
        <v>0.68181818181818188</v>
      </c>
      <c r="P43" s="310"/>
      <c r="Q43" s="63">
        <v>-0.16216216216216217</v>
      </c>
      <c r="R43" s="23"/>
      <c r="S43" s="63">
        <v>0.32258064516129026</v>
      </c>
      <c r="T43" s="63">
        <v>-4.8780487804878092E-2</v>
      </c>
      <c r="U43" s="63">
        <v>0.76923076923076916</v>
      </c>
      <c r="V43" s="310"/>
      <c r="W43" s="63">
        <v>-0.79710144927536231</v>
      </c>
      <c r="X43" s="23"/>
      <c r="Y43" s="63">
        <v>3.4285714285714288</v>
      </c>
      <c r="Z43" s="63">
        <v>-9.6774193548387122E-2</v>
      </c>
      <c r="AA43" s="63">
        <v>0.3035714285714286</v>
      </c>
      <c r="AB43" s="310"/>
      <c r="AC43" s="63">
        <v>-0.42465753424657537</v>
      </c>
      <c r="AD43" s="23"/>
    </row>
    <row r="44" spans="1:30">
      <c r="A44" s="72" t="s">
        <v>8</v>
      </c>
      <c r="B44" s="23"/>
      <c r="C44" s="64"/>
      <c r="D44" s="64"/>
      <c r="E44" s="64"/>
      <c r="F44" s="64"/>
      <c r="G44" s="23">
        <v>-0.31637519872813991</v>
      </c>
      <c r="H44" s="64">
        <v>0.68627450980392157</v>
      </c>
      <c r="I44" s="64">
        <v>-0.6449704142011834</v>
      </c>
      <c r="J44" s="64">
        <v>-0.70434782608695645</v>
      </c>
      <c r="K44" s="64">
        <v>-0.51578947368421058</v>
      </c>
      <c r="L44" s="23">
        <v>-0.47441860465116281</v>
      </c>
      <c r="M44" s="64">
        <v>-0.38372093023255816</v>
      </c>
      <c r="N44" s="64">
        <v>-0.6333333333333333</v>
      </c>
      <c r="O44" s="64">
        <v>8.8235294117646967E-2</v>
      </c>
      <c r="P44" s="311"/>
      <c r="Q44" s="64">
        <v>-0.32608695652173914</v>
      </c>
      <c r="R44" s="23">
        <v>-0.36725663716814161</v>
      </c>
      <c r="S44" s="64">
        <v>-0.22641509433962259</v>
      </c>
      <c r="T44" s="64">
        <v>0.77272727272727271</v>
      </c>
      <c r="U44" s="64">
        <v>0.86486486486486491</v>
      </c>
      <c r="V44" s="311">
        <v>0.33035714285714279</v>
      </c>
      <c r="W44" s="64">
        <v>-0.54838709677419351</v>
      </c>
      <c r="X44" s="23">
        <v>0.13986013986013979</v>
      </c>
      <c r="Y44" s="64">
        <v>0.51219512195121952</v>
      </c>
      <c r="Z44" s="64">
        <v>0.4358974358974359</v>
      </c>
      <c r="AA44" s="64">
        <v>5.7971014492753659E-2</v>
      </c>
      <c r="AB44" s="311">
        <v>0.28187919463087252</v>
      </c>
      <c r="AC44" s="64">
        <v>2</v>
      </c>
      <c r="AD44" s="23">
        <v>0.42944785276073616</v>
      </c>
    </row>
    <row r="45" spans="1:30">
      <c r="A45" s="60" t="s">
        <v>300</v>
      </c>
      <c r="B45" s="35">
        <f>168+41</f>
        <v>209</v>
      </c>
      <c r="C45" s="61">
        <f>46+14</f>
        <v>60</v>
      </c>
      <c r="D45" s="61">
        <v>53</v>
      </c>
      <c r="E45" s="61">
        <f>53+10+6</f>
        <v>69</v>
      </c>
      <c r="F45" s="61">
        <f>G45-E45-D45-C45</f>
        <v>53</v>
      </c>
      <c r="G45" s="35">
        <v>235</v>
      </c>
      <c r="H45" s="61">
        <v>62</v>
      </c>
      <c r="I45" s="61">
        <v>75</v>
      </c>
      <c r="J45" s="61">
        <v>79</v>
      </c>
      <c r="K45" s="61">
        <v>82</v>
      </c>
      <c r="L45" s="35">
        <v>298</v>
      </c>
      <c r="M45" s="61">
        <v>64</v>
      </c>
      <c r="N45" s="61">
        <v>74</v>
      </c>
      <c r="O45" s="61">
        <v>69</v>
      </c>
      <c r="P45" s="309">
        <v>207</v>
      </c>
      <c r="Q45" s="61">
        <v>32</v>
      </c>
      <c r="R45" s="35">
        <v>239</v>
      </c>
      <c r="S45" s="61">
        <v>37</v>
      </c>
      <c r="T45" s="61">
        <v>41</v>
      </c>
      <c r="U45" s="61">
        <v>38</v>
      </c>
      <c r="V45" s="309">
        <v>116</v>
      </c>
      <c r="W45" s="61">
        <v>26</v>
      </c>
      <c r="X45" s="35">
        <v>142</v>
      </c>
      <c r="Y45" s="61">
        <v>43</v>
      </c>
      <c r="Z45" s="61">
        <v>43</v>
      </c>
      <c r="AA45" s="61">
        <v>39</v>
      </c>
      <c r="AB45" s="309">
        <v>125</v>
      </c>
      <c r="AC45" s="61">
        <v>55</v>
      </c>
      <c r="AD45" s="35">
        <v>180</v>
      </c>
    </row>
    <row r="46" spans="1:30">
      <c r="A46" s="62" t="s">
        <v>7</v>
      </c>
      <c r="B46" s="23"/>
      <c r="C46" s="63"/>
      <c r="D46" s="63">
        <f>D45/C45-1</f>
        <v>-0.1166666666666667</v>
      </c>
      <c r="E46" s="63">
        <f>E45/D45-1</f>
        <v>0.30188679245283012</v>
      </c>
      <c r="F46" s="63">
        <f>F45/E45-1</f>
        <v>-0.23188405797101452</v>
      </c>
      <c r="G46" s="23"/>
      <c r="H46" s="63">
        <v>0.16981132075471694</v>
      </c>
      <c r="I46" s="63">
        <v>0.20967741935483875</v>
      </c>
      <c r="J46" s="63">
        <v>5.3333333333333233E-2</v>
      </c>
      <c r="K46" s="63">
        <v>3.7974683544303778E-2</v>
      </c>
      <c r="L46" s="23"/>
      <c r="M46" s="63">
        <v>-0.21951219512195119</v>
      </c>
      <c r="N46" s="63">
        <v>0.15625</v>
      </c>
      <c r="O46" s="63">
        <v>-6.7567567567567544E-2</v>
      </c>
      <c r="P46" s="310"/>
      <c r="Q46" s="63">
        <v>-0.53623188405797095</v>
      </c>
      <c r="R46" s="23"/>
      <c r="S46" s="63">
        <v>0.15625</v>
      </c>
      <c r="T46" s="63">
        <v>0.10810810810810811</v>
      </c>
      <c r="U46" s="63">
        <v>-7.3170731707317027E-2</v>
      </c>
      <c r="V46" s="310"/>
      <c r="W46" s="63">
        <v>-0.31578947368421051</v>
      </c>
      <c r="X46" s="23"/>
      <c r="Y46" s="63">
        <v>0.65384615384615374</v>
      </c>
      <c r="Z46" s="63">
        <v>0</v>
      </c>
      <c r="AA46" s="63">
        <v>-9.3023255813953543E-2</v>
      </c>
      <c r="AB46" s="310"/>
      <c r="AC46" s="63">
        <v>0.41025641025641035</v>
      </c>
      <c r="AD46" s="23"/>
    </row>
    <row r="47" spans="1:30">
      <c r="A47" s="62" t="s">
        <v>8</v>
      </c>
      <c r="B47" s="23"/>
      <c r="C47" s="64"/>
      <c r="D47" s="64"/>
      <c r="E47" s="64"/>
      <c r="F47" s="64"/>
      <c r="G47" s="23">
        <v>0.12440191387559807</v>
      </c>
      <c r="H47" s="64">
        <v>3.3333333333333437E-2</v>
      </c>
      <c r="I47" s="64">
        <v>0.41509433962264142</v>
      </c>
      <c r="J47" s="64">
        <v>0.14492753623188404</v>
      </c>
      <c r="K47" s="64">
        <v>0.54716981132075482</v>
      </c>
      <c r="L47" s="23">
        <v>0.26808510638297878</v>
      </c>
      <c r="M47" s="64">
        <v>3.2258064516129004E-2</v>
      </c>
      <c r="N47" s="64">
        <v>-1.3333333333333308E-2</v>
      </c>
      <c r="O47" s="64">
        <v>-0.12658227848101267</v>
      </c>
      <c r="P47" s="311"/>
      <c r="Q47" s="64">
        <v>-0.6097560975609756</v>
      </c>
      <c r="R47" s="23">
        <v>-0.19798657718120805</v>
      </c>
      <c r="S47" s="64">
        <v>-0.421875</v>
      </c>
      <c r="T47" s="64">
        <v>-0.44594594594594594</v>
      </c>
      <c r="U47" s="64">
        <v>-0.44927536231884058</v>
      </c>
      <c r="V47" s="311">
        <v>-0.43961352657004826</v>
      </c>
      <c r="W47" s="64">
        <v>-0.1875</v>
      </c>
      <c r="X47" s="23">
        <v>-0.40585774058577406</v>
      </c>
      <c r="Y47" s="64">
        <v>0.16216216216216206</v>
      </c>
      <c r="Z47" s="64">
        <v>4.8780487804878092E-2</v>
      </c>
      <c r="AA47" s="64">
        <v>2.6315789473684292E-2</v>
      </c>
      <c r="AB47" s="311">
        <v>7.7586206896551824E-2</v>
      </c>
      <c r="AC47" s="64">
        <v>1.1153846153846154</v>
      </c>
      <c r="AD47" s="23">
        <v>0.26760563380281699</v>
      </c>
    </row>
    <row r="48" spans="1:30">
      <c r="A48" s="60" t="s">
        <v>301</v>
      </c>
      <c r="B48" s="35">
        <f>B45-1</f>
        <v>208</v>
      </c>
      <c r="C48" s="61">
        <f>C45</f>
        <v>60</v>
      </c>
      <c r="D48" s="61">
        <f>D45-1</f>
        <v>52</v>
      </c>
      <c r="E48" s="61">
        <f>E45</f>
        <v>69</v>
      </c>
      <c r="F48" s="61">
        <f>G48-E48-D48-C48</f>
        <v>53</v>
      </c>
      <c r="G48" s="35">
        <v>234</v>
      </c>
      <c r="H48" s="61">
        <v>62</v>
      </c>
      <c r="I48" s="61">
        <v>75</v>
      </c>
      <c r="J48" s="61">
        <v>79</v>
      </c>
      <c r="K48" s="61">
        <v>81</v>
      </c>
      <c r="L48" s="35">
        <v>297</v>
      </c>
      <c r="M48" s="61">
        <v>64</v>
      </c>
      <c r="N48" s="61">
        <v>73</v>
      </c>
      <c r="O48" s="61">
        <v>69</v>
      </c>
      <c r="P48" s="309">
        <v>206</v>
      </c>
      <c r="Q48" s="61">
        <v>32</v>
      </c>
      <c r="R48" s="35">
        <v>238</v>
      </c>
      <c r="S48" s="61">
        <v>37</v>
      </c>
      <c r="T48" s="165">
        <v>40</v>
      </c>
      <c r="U48" s="165">
        <v>38</v>
      </c>
      <c r="V48" s="309">
        <v>115</v>
      </c>
      <c r="W48" s="61">
        <v>26</v>
      </c>
      <c r="X48" s="35">
        <v>141</v>
      </c>
      <c r="Y48" s="61">
        <v>43</v>
      </c>
      <c r="Z48" s="165">
        <v>42</v>
      </c>
      <c r="AA48" s="165">
        <v>38</v>
      </c>
      <c r="AB48" s="309">
        <v>123</v>
      </c>
      <c r="AC48" s="61">
        <v>55</v>
      </c>
      <c r="AD48" s="35">
        <v>178</v>
      </c>
    </row>
    <row r="49" spans="1:30">
      <c r="A49" s="62" t="s">
        <v>7</v>
      </c>
      <c r="B49" s="23"/>
      <c r="C49" s="63"/>
      <c r="D49" s="63">
        <f>D48/C48-1</f>
        <v>-0.1333333333333333</v>
      </c>
      <c r="E49" s="63">
        <f>E48/D48-1</f>
        <v>0.32692307692307687</v>
      </c>
      <c r="F49" s="63">
        <f>F48/E48-1</f>
        <v>-0.23188405797101452</v>
      </c>
      <c r="G49" s="23"/>
      <c r="H49" s="63">
        <v>0.16981132075471694</v>
      </c>
      <c r="I49" s="63">
        <v>0.20967741935483875</v>
      </c>
      <c r="J49" s="63">
        <v>5.3333333333333233E-2</v>
      </c>
      <c r="K49" s="63">
        <v>2.5316455696202445E-2</v>
      </c>
      <c r="L49" s="23"/>
      <c r="M49" s="63">
        <v>-0.20987654320987659</v>
      </c>
      <c r="N49" s="63">
        <v>0.140625</v>
      </c>
      <c r="O49" s="63">
        <v>-5.4794520547945202E-2</v>
      </c>
      <c r="P49" s="310"/>
      <c r="Q49" s="63">
        <v>-0.53623188405797095</v>
      </c>
      <c r="R49" s="23"/>
      <c r="S49" s="63">
        <v>0.15625</v>
      </c>
      <c r="T49" s="63">
        <v>8.1081081081081141E-2</v>
      </c>
      <c r="U49" s="63">
        <v>-5.0000000000000044E-2</v>
      </c>
      <c r="V49" s="310"/>
      <c r="W49" s="63">
        <v>-0.31578947368421051</v>
      </c>
      <c r="X49" s="23"/>
      <c r="Y49" s="63">
        <v>0.65384615384615374</v>
      </c>
      <c r="Z49" s="63">
        <v>-2.3255813953488413E-2</v>
      </c>
      <c r="AA49" s="63">
        <v>-9.5238095238095233E-2</v>
      </c>
      <c r="AB49" s="310"/>
      <c r="AC49" s="63">
        <v>0.44736842105263164</v>
      </c>
      <c r="AD49" s="23"/>
    </row>
    <row r="50" spans="1:30">
      <c r="A50" s="62" t="s">
        <v>8</v>
      </c>
      <c r="B50" s="23"/>
      <c r="C50" s="64"/>
      <c r="D50" s="64"/>
      <c r="E50" s="64"/>
      <c r="F50" s="64"/>
      <c r="G50" s="23">
        <v>0.125</v>
      </c>
      <c r="H50" s="64">
        <v>3.3333333333333437E-2</v>
      </c>
      <c r="I50" s="64">
        <v>0.44230769230769229</v>
      </c>
      <c r="J50" s="64">
        <v>0.14492753623188404</v>
      </c>
      <c r="K50" s="64">
        <v>0.52830188679245293</v>
      </c>
      <c r="L50" s="23">
        <v>0.26923076923076916</v>
      </c>
      <c r="M50" s="64">
        <v>3.2258064516129004E-2</v>
      </c>
      <c r="N50" s="64">
        <v>-2.6666666666666616E-2</v>
      </c>
      <c r="O50" s="64">
        <v>-0.12658227848101267</v>
      </c>
      <c r="P50" s="311"/>
      <c r="Q50" s="64">
        <v>-0.60493827160493829</v>
      </c>
      <c r="R50" s="23">
        <v>-0.19865319865319864</v>
      </c>
      <c r="S50" s="64">
        <v>-0.421875</v>
      </c>
      <c r="T50" s="64">
        <v>-0.45205479452054798</v>
      </c>
      <c r="U50" s="64">
        <v>-0.44927536231884058</v>
      </c>
      <c r="V50" s="311">
        <v>-0.44174757281553401</v>
      </c>
      <c r="W50" s="64">
        <v>-0.1875</v>
      </c>
      <c r="X50" s="23">
        <v>-0.40756302521008403</v>
      </c>
      <c r="Y50" s="64">
        <v>0.16216216216216206</v>
      </c>
      <c r="Z50" s="64">
        <v>5.0000000000000044E-2</v>
      </c>
      <c r="AA50" s="64">
        <v>0</v>
      </c>
      <c r="AB50" s="311">
        <v>6.956521739130439E-2</v>
      </c>
      <c r="AC50" s="64">
        <v>1.1153846153846154</v>
      </c>
      <c r="AD50" s="23">
        <v>0.26241134751773054</v>
      </c>
    </row>
    <row r="51" spans="1:30">
      <c r="A51" s="60" t="s">
        <v>198</v>
      </c>
      <c r="B51" s="55" t="s">
        <v>114</v>
      </c>
      <c r="C51" s="165" t="s">
        <v>114</v>
      </c>
      <c r="D51" s="165" t="s">
        <v>114</v>
      </c>
      <c r="E51" s="165" t="s">
        <v>114</v>
      </c>
      <c r="F51" s="165" t="s">
        <v>114</v>
      </c>
      <c r="G51" s="55" t="s">
        <v>114</v>
      </c>
      <c r="H51" s="61">
        <v>8</v>
      </c>
      <c r="I51" s="61">
        <v>8</v>
      </c>
      <c r="J51" s="61">
        <v>9</v>
      </c>
      <c r="K51" s="61">
        <v>6</v>
      </c>
      <c r="L51" s="35">
        <v>31</v>
      </c>
      <c r="M51" s="61">
        <v>8</v>
      </c>
      <c r="N51" s="61">
        <v>7</v>
      </c>
      <c r="O51" s="61">
        <v>8</v>
      </c>
      <c r="P51" s="309">
        <v>23</v>
      </c>
      <c r="Q51" s="61">
        <v>7</v>
      </c>
      <c r="R51" s="35">
        <v>30</v>
      </c>
      <c r="S51" s="61">
        <v>7</v>
      </c>
      <c r="T51" s="61">
        <v>7</v>
      </c>
      <c r="U51" s="61">
        <v>6</v>
      </c>
      <c r="V51" s="309">
        <v>20</v>
      </c>
      <c r="W51" s="61">
        <v>6</v>
      </c>
      <c r="X51" s="35">
        <v>26</v>
      </c>
      <c r="Y51" s="61">
        <v>6</v>
      </c>
      <c r="Z51" s="61">
        <v>7</v>
      </c>
      <c r="AA51" s="61">
        <v>6</v>
      </c>
      <c r="AB51" s="309">
        <v>19</v>
      </c>
      <c r="AC51" s="61">
        <v>7</v>
      </c>
      <c r="AD51" s="35">
        <v>26</v>
      </c>
    </row>
    <row r="52" spans="1:30">
      <c r="A52" s="60"/>
      <c r="B52" s="23"/>
      <c r="C52" s="64"/>
      <c r="D52" s="64"/>
      <c r="E52" s="64"/>
      <c r="F52" s="64"/>
      <c r="G52" s="23"/>
      <c r="H52" s="61"/>
      <c r="I52" s="61"/>
      <c r="J52" s="61"/>
      <c r="K52" s="61"/>
      <c r="L52" s="35"/>
      <c r="M52" s="61"/>
      <c r="N52" s="61"/>
      <c r="O52" s="61"/>
      <c r="P52" s="309"/>
      <c r="Q52" s="61"/>
      <c r="R52" s="35"/>
      <c r="S52" s="61"/>
      <c r="T52" s="61"/>
      <c r="U52" s="61"/>
      <c r="V52" s="309"/>
      <c r="W52" s="61"/>
      <c r="X52" s="35"/>
      <c r="Y52" s="61"/>
      <c r="Z52" s="61"/>
      <c r="AA52" s="61"/>
      <c r="AB52" s="309"/>
      <c r="AC52" s="61"/>
      <c r="AD52" s="35"/>
    </row>
    <row r="53" spans="1:30">
      <c r="A53" s="60" t="s">
        <v>393</v>
      </c>
      <c r="B53" s="35">
        <f>B42-B48</f>
        <v>421</v>
      </c>
      <c r="C53" s="165">
        <f>C42-C48</f>
        <v>-9</v>
      </c>
      <c r="D53" s="67">
        <f>D42-D48</f>
        <v>117</v>
      </c>
      <c r="E53" s="67">
        <f>E42-E48</f>
        <v>46</v>
      </c>
      <c r="F53" s="61">
        <f>G53-E53-D53-C53</f>
        <v>42</v>
      </c>
      <c r="G53" s="35">
        <v>196</v>
      </c>
      <c r="H53" s="165">
        <v>16</v>
      </c>
      <c r="I53" s="165">
        <v>-23</v>
      </c>
      <c r="J53" s="165">
        <v>-54</v>
      </c>
      <c r="K53" s="165">
        <v>-41</v>
      </c>
      <c r="L53" s="159">
        <v>-102</v>
      </c>
      <c r="M53" s="165">
        <v>-19</v>
      </c>
      <c r="N53" s="165">
        <v>-58</v>
      </c>
      <c r="O53" s="165">
        <v>-40</v>
      </c>
      <c r="P53" s="312">
        <v>-117</v>
      </c>
      <c r="Q53" s="165">
        <v>-8</v>
      </c>
      <c r="R53" s="159">
        <v>-125</v>
      </c>
      <c r="S53" s="165">
        <v>-3</v>
      </c>
      <c r="T53" s="165">
        <v>-8</v>
      </c>
      <c r="U53" s="165">
        <v>25</v>
      </c>
      <c r="V53" s="312">
        <v>14</v>
      </c>
      <c r="W53" s="165">
        <v>-18</v>
      </c>
      <c r="X53" s="159">
        <v>-4</v>
      </c>
      <c r="Y53" s="165">
        <v>13</v>
      </c>
      <c r="Z53" s="165">
        <v>7</v>
      </c>
      <c r="AA53" s="165">
        <v>29</v>
      </c>
      <c r="AB53" s="312">
        <v>49</v>
      </c>
      <c r="AC53" s="165">
        <v>-20</v>
      </c>
      <c r="AD53" s="159">
        <v>29</v>
      </c>
    </row>
    <row r="54" spans="1:30">
      <c r="A54" s="62" t="s">
        <v>7</v>
      </c>
      <c r="B54" s="23"/>
      <c r="C54" s="75"/>
      <c r="D54" s="75" t="s">
        <v>34</v>
      </c>
      <c r="E54" s="63">
        <f>E53/D53-1</f>
        <v>-0.6068376068376069</v>
      </c>
      <c r="F54" s="63">
        <f>F53/E53-1</f>
        <v>-8.6956521739130488E-2</v>
      </c>
      <c r="G54" s="23"/>
      <c r="H54" s="63">
        <v>-0.61904761904761907</v>
      </c>
      <c r="I54" s="75" t="s">
        <v>34</v>
      </c>
      <c r="J54" s="63">
        <v>1.347826086956522</v>
      </c>
      <c r="K54" s="63">
        <v>-0.2407407407407407</v>
      </c>
      <c r="L54" s="23"/>
      <c r="M54" s="63">
        <v>-0.53658536585365857</v>
      </c>
      <c r="N54" s="63">
        <v>2.0526315789473686</v>
      </c>
      <c r="O54" s="63">
        <v>-0.31034482758620685</v>
      </c>
      <c r="P54" s="310"/>
      <c r="Q54" s="63">
        <v>-0.8</v>
      </c>
      <c r="R54" s="23"/>
      <c r="S54" s="63">
        <v>-0.625</v>
      </c>
      <c r="T54" s="63">
        <v>1.6666666666666665</v>
      </c>
      <c r="U54" s="73" t="s">
        <v>34</v>
      </c>
      <c r="V54" s="310"/>
      <c r="W54" s="73" t="s">
        <v>34</v>
      </c>
      <c r="X54" s="23"/>
      <c r="Y54" s="73" t="s">
        <v>34</v>
      </c>
      <c r="Z54" s="63">
        <v>-0.46153846153846156</v>
      </c>
      <c r="AA54" s="63">
        <v>3.1428571428571432</v>
      </c>
      <c r="AB54" s="310"/>
      <c r="AC54" s="73" t="s">
        <v>34</v>
      </c>
      <c r="AD54" s="23"/>
    </row>
    <row r="55" spans="1:30">
      <c r="A55" s="62" t="s">
        <v>8</v>
      </c>
      <c r="B55" s="23"/>
      <c r="C55" s="75"/>
      <c r="D55" s="64"/>
      <c r="E55" s="64"/>
      <c r="F55" s="64"/>
      <c r="G55" s="23">
        <v>-0.53444180522565321</v>
      </c>
      <c r="H55" s="73" t="s">
        <v>34</v>
      </c>
      <c r="I55" s="75" t="s">
        <v>34</v>
      </c>
      <c r="J55" s="75" t="s">
        <v>34</v>
      </c>
      <c r="K55" s="75" t="s">
        <v>34</v>
      </c>
      <c r="L55" s="82" t="s">
        <v>34</v>
      </c>
      <c r="M55" s="73" t="s">
        <v>34</v>
      </c>
      <c r="N55" s="64">
        <v>1.5217391304347827</v>
      </c>
      <c r="O55" s="64">
        <v>-0.2592592592592593</v>
      </c>
      <c r="P55" s="311"/>
      <c r="Q55" s="75">
        <v>-0.80487804878048785</v>
      </c>
      <c r="R55" s="82">
        <v>0.22549019607843146</v>
      </c>
      <c r="S55" s="64">
        <v>-0.84210526315789469</v>
      </c>
      <c r="T55" s="64">
        <v>-0.86206896551724133</v>
      </c>
      <c r="U55" s="73" t="s">
        <v>34</v>
      </c>
      <c r="V55" s="343" t="s">
        <v>34</v>
      </c>
      <c r="W55" s="75">
        <v>1.25</v>
      </c>
      <c r="X55" s="82">
        <v>-0.96799999999999997</v>
      </c>
      <c r="Y55" s="73" t="s">
        <v>34</v>
      </c>
      <c r="Z55" s="73" t="s">
        <v>34</v>
      </c>
      <c r="AA55" s="64">
        <v>0.15999999999999992</v>
      </c>
      <c r="AB55" s="311">
        <v>2.5</v>
      </c>
      <c r="AC55" s="75">
        <v>0.11111111111111116</v>
      </c>
      <c r="AD55" s="82" t="s">
        <v>34</v>
      </c>
    </row>
    <row r="56" spans="1:30">
      <c r="A56" s="329" t="s">
        <v>19</v>
      </c>
      <c r="B56" s="328"/>
      <c r="C56" s="335"/>
      <c r="D56" s="335"/>
      <c r="E56" s="335"/>
      <c r="F56" s="335"/>
      <c r="G56" s="328"/>
      <c r="H56" s="335"/>
      <c r="I56" s="335"/>
      <c r="J56" s="335"/>
      <c r="K56" s="335"/>
      <c r="L56" s="328"/>
      <c r="M56" s="335"/>
      <c r="N56" s="335"/>
      <c r="O56" s="335"/>
      <c r="P56" s="335"/>
      <c r="Q56" s="335"/>
      <c r="R56" s="328"/>
      <c r="S56" s="335"/>
      <c r="T56" s="335"/>
      <c r="U56" s="335"/>
      <c r="V56" s="335"/>
      <c r="W56" s="335"/>
      <c r="X56" s="328"/>
      <c r="Y56" s="335"/>
      <c r="Z56" s="335"/>
      <c r="AA56" s="335"/>
      <c r="AB56" s="335"/>
      <c r="AC56" s="335"/>
      <c r="AD56" s="328"/>
    </row>
    <row r="57" spans="1:30">
      <c r="A57" s="60" t="s">
        <v>31</v>
      </c>
      <c r="B57" s="169">
        <f t="shared" ref="B57:F57" si="0">B33/B9</f>
        <v>3.8968481375358167E-2</v>
      </c>
      <c r="C57" s="170">
        <f t="shared" si="0"/>
        <v>4.4811320754716978E-2</v>
      </c>
      <c r="D57" s="170">
        <f t="shared" si="0"/>
        <v>-0.36298076923076922</v>
      </c>
      <c r="E57" s="170">
        <f t="shared" si="0"/>
        <v>-0.30295566502463056</v>
      </c>
      <c r="F57" s="170">
        <f t="shared" si="0"/>
        <v>2.7227722772277228E-2</v>
      </c>
      <c r="G57" s="169">
        <v>-0.14787878787878789</v>
      </c>
      <c r="H57" s="170">
        <v>2.6666666666666666E-3</v>
      </c>
      <c r="I57" s="170">
        <v>0</v>
      </c>
      <c r="J57" s="170">
        <v>-5.4495912806539508E-3</v>
      </c>
      <c r="K57" s="170">
        <v>-3.1938202247191012</v>
      </c>
      <c r="L57" s="169">
        <v>-0.77936184657162255</v>
      </c>
      <c r="M57" s="170">
        <v>-0.1457725947521866</v>
      </c>
      <c r="N57" s="170">
        <v>-8.0118694362017809E-2</v>
      </c>
      <c r="O57" s="170">
        <v>4.4910179640718563E-2</v>
      </c>
      <c r="P57" s="344">
        <v>-6.1143984220907298E-2</v>
      </c>
      <c r="Q57" s="170">
        <v>-2.1148036253776436E-2</v>
      </c>
      <c r="R57" s="169">
        <v>-5.1301115241635685E-2</v>
      </c>
      <c r="S57" s="170">
        <v>4.142011834319527E-2</v>
      </c>
      <c r="T57" s="170">
        <v>5.6426332288401257E-2</v>
      </c>
      <c r="U57" s="170">
        <v>5.1118210862619806E-2</v>
      </c>
      <c r="V57" s="344">
        <v>4.9484536082474224E-2</v>
      </c>
      <c r="W57" s="170">
        <v>-7.5709779179810727E-2</v>
      </c>
      <c r="X57" s="169">
        <v>1.8648018648018648E-2</v>
      </c>
      <c r="Y57" s="170">
        <v>0</v>
      </c>
      <c r="Z57" s="170">
        <v>5.7142857142857141E-2</v>
      </c>
      <c r="AA57" s="170">
        <v>9.1194968553459113E-2</v>
      </c>
      <c r="AB57" s="344">
        <v>4.9578059071729956E-2</v>
      </c>
      <c r="AC57" s="170">
        <v>-5.2795031055900624E-2</v>
      </c>
      <c r="AD57" s="169">
        <v>2.3622047244094488E-2</v>
      </c>
    </row>
    <row r="58" spans="1:30">
      <c r="A58" s="60" t="s">
        <v>10</v>
      </c>
      <c r="B58" s="48">
        <f t="shared" ref="B58:F58" si="1">B36/B9</f>
        <v>0.3209169054441261</v>
      </c>
      <c r="C58" s="68">
        <f t="shared" si="1"/>
        <v>0.28773584905660377</v>
      </c>
      <c r="D58" s="68">
        <f t="shared" si="1"/>
        <v>0.28846153846153844</v>
      </c>
      <c r="E58" s="68">
        <f t="shared" si="1"/>
        <v>0.26354679802955666</v>
      </c>
      <c r="F58" s="68">
        <f t="shared" si="1"/>
        <v>0.24504950495049505</v>
      </c>
      <c r="G58" s="48">
        <v>0.27151515151515154</v>
      </c>
      <c r="H58" s="68">
        <v>0.20799999999999999</v>
      </c>
      <c r="I58" s="68">
        <v>0.16533333333333333</v>
      </c>
      <c r="J58" s="68">
        <v>0.22343324250681199</v>
      </c>
      <c r="K58" s="170">
        <v>-2.9634831460674156</v>
      </c>
      <c r="L58" s="169">
        <v>-0.56551255940257972</v>
      </c>
      <c r="M58" s="68">
        <v>2.9154518950437316E-2</v>
      </c>
      <c r="N58" s="68">
        <v>0.13056379821958458</v>
      </c>
      <c r="O58" s="68">
        <v>0.20958083832335328</v>
      </c>
      <c r="P58" s="318">
        <v>0.1222879684418146</v>
      </c>
      <c r="Q58" s="170">
        <v>0.12084592145015106</v>
      </c>
      <c r="R58" s="169">
        <v>0.12193308550185873</v>
      </c>
      <c r="S58" s="68">
        <v>0.15680473372781065</v>
      </c>
      <c r="T58" s="68">
        <v>0.22884012539184953</v>
      </c>
      <c r="U58" s="68">
        <v>0.21725239616613418</v>
      </c>
      <c r="V58" s="318">
        <v>0.2</v>
      </c>
      <c r="W58" s="170">
        <v>0.15141955835962145</v>
      </c>
      <c r="X58" s="169">
        <v>0.18803418803418803</v>
      </c>
      <c r="Y58" s="68">
        <v>0.17460317460317459</v>
      </c>
      <c r="Z58" s="68">
        <v>0.21269841269841269</v>
      </c>
      <c r="AA58" s="68">
        <v>0.23584905660377359</v>
      </c>
      <c r="AB58" s="318">
        <v>0.20780590717299577</v>
      </c>
      <c r="AC58" s="170">
        <v>0.11801242236024845</v>
      </c>
      <c r="AD58" s="169">
        <v>0.18503937007874016</v>
      </c>
    </row>
    <row r="59" spans="1:30">
      <c r="A59" s="60" t="s">
        <v>18</v>
      </c>
      <c r="B59" s="48">
        <f t="shared" ref="B59:F59" si="2">B45/B9</f>
        <v>0.11977077363896849</v>
      </c>
      <c r="C59" s="68">
        <f t="shared" si="2"/>
        <v>0.14150943396226415</v>
      </c>
      <c r="D59" s="68">
        <f t="shared" si="2"/>
        <v>0.12740384615384615</v>
      </c>
      <c r="E59" s="68">
        <f t="shared" si="2"/>
        <v>0.16995073891625614</v>
      </c>
      <c r="F59" s="170">
        <f t="shared" si="2"/>
        <v>0.13118811881188119</v>
      </c>
      <c r="G59" s="48">
        <v>0.14242424242424243</v>
      </c>
      <c r="H59" s="68">
        <v>0.16533333333333333</v>
      </c>
      <c r="I59" s="68">
        <v>0.2</v>
      </c>
      <c r="J59" s="68">
        <v>0.21525885558583105</v>
      </c>
      <c r="K59" s="170">
        <v>0.2303370786516854</v>
      </c>
      <c r="L59" s="48">
        <v>0.2023082145281738</v>
      </c>
      <c r="M59" s="68">
        <v>0.18658892128279883</v>
      </c>
      <c r="N59" s="68">
        <v>0.21958456973293769</v>
      </c>
      <c r="O59" s="68">
        <v>0.20658682634730538</v>
      </c>
      <c r="P59" s="318">
        <v>0.20414201183431951</v>
      </c>
      <c r="Q59" s="170">
        <v>9.6676737160120846E-2</v>
      </c>
      <c r="R59" s="48">
        <v>0.17769516728624535</v>
      </c>
      <c r="S59" s="68">
        <v>0.10946745562130178</v>
      </c>
      <c r="T59" s="68">
        <v>0.12852664576802508</v>
      </c>
      <c r="U59" s="68">
        <v>0.12140575079872204</v>
      </c>
      <c r="V59" s="318">
        <v>0.11958762886597939</v>
      </c>
      <c r="W59" s="170">
        <v>8.2018927444794956E-2</v>
      </c>
      <c r="X59" s="48">
        <v>0.11033411033411034</v>
      </c>
      <c r="Y59" s="68">
        <v>0.13650793650793649</v>
      </c>
      <c r="Z59" s="68">
        <v>0.13650793650793649</v>
      </c>
      <c r="AA59" s="68">
        <v>0.12264150943396226</v>
      </c>
      <c r="AB59" s="318">
        <v>0.13185654008438819</v>
      </c>
      <c r="AC59" s="170">
        <v>0.17080745341614906</v>
      </c>
      <c r="AD59" s="48">
        <v>0.14173228346456693</v>
      </c>
    </row>
    <row r="60" spans="1:30" hidden="1">
      <c r="A60" s="60" t="s">
        <v>111</v>
      </c>
      <c r="B60" s="55"/>
      <c r="C60" s="66"/>
      <c r="D60" s="66"/>
      <c r="E60" s="66"/>
      <c r="F60" s="66"/>
      <c r="G60" s="55"/>
      <c r="H60" s="66"/>
      <c r="I60" s="66"/>
      <c r="J60" s="66"/>
      <c r="K60" s="66"/>
      <c r="L60" s="55"/>
      <c r="M60" s="66"/>
      <c r="N60" s="66"/>
      <c r="O60" s="66"/>
      <c r="P60" s="66"/>
      <c r="Q60" s="66"/>
      <c r="R60" s="55"/>
      <c r="S60" s="66"/>
      <c r="T60" s="66"/>
      <c r="U60" s="66"/>
      <c r="V60" s="66"/>
      <c r="W60" s="66"/>
      <c r="X60" s="55"/>
      <c r="Y60" s="66"/>
      <c r="Z60" s="66"/>
      <c r="AA60" s="66"/>
      <c r="AB60" s="66"/>
      <c r="AC60" s="66"/>
      <c r="AD60" s="55"/>
    </row>
    <row r="61" spans="1:30" ht="3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</row>
    <row r="62" spans="1:30" ht="20.25">
      <c r="A62" s="33" t="s">
        <v>220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30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>
      <c r="A64" s="328" t="s">
        <v>55</v>
      </c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</row>
    <row r="65" spans="1:30">
      <c r="A65" s="60" t="s">
        <v>16</v>
      </c>
      <c r="B65" s="82" t="s">
        <v>35</v>
      </c>
      <c r="C65" s="73" t="s">
        <v>35</v>
      </c>
      <c r="D65" s="73" t="s">
        <v>35</v>
      </c>
      <c r="E65" s="73" t="s">
        <v>35</v>
      </c>
      <c r="F65" s="73" t="s">
        <v>35</v>
      </c>
      <c r="G65" s="159">
        <v>1650</v>
      </c>
      <c r="H65" s="61">
        <v>375</v>
      </c>
      <c r="I65" s="61">
        <v>375</v>
      </c>
      <c r="J65" s="61">
        <v>367</v>
      </c>
      <c r="K65" s="61">
        <v>356</v>
      </c>
      <c r="L65" s="159">
        <v>1473</v>
      </c>
      <c r="M65" s="61">
        <v>343</v>
      </c>
      <c r="N65" s="61">
        <v>337</v>
      </c>
      <c r="O65" s="61">
        <v>334</v>
      </c>
      <c r="P65" s="312">
        <v>1014</v>
      </c>
      <c r="Q65" s="61">
        <v>331</v>
      </c>
      <c r="R65" s="159">
        <v>1345</v>
      </c>
      <c r="S65" s="61">
        <v>338</v>
      </c>
      <c r="T65" s="61">
        <v>319</v>
      </c>
      <c r="U65" s="61">
        <v>313</v>
      </c>
      <c r="V65" s="312">
        <v>970</v>
      </c>
      <c r="W65" s="61">
        <v>317</v>
      </c>
      <c r="X65" s="159">
        <v>1287</v>
      </c>
      <c r="Y65" s="61">
        <v>315</v>
      </c>
      <c r="Z65" s="61">
        <v>315</v>
      </c>
      <c r="AA65" s="61">
        <v>318</v>
      </c>
      <c r="AB65" s="312">
        <v>948</v>
      </c>
      <c r="AC65" s="61">
        <v>322</v>
      </c>
      <c r="AD65" s="159">
        <v>1270</v>
      </c>
    </row>
    <row r="66" spans="1:30">
      <c r="A66" s="62" t="s">
        <v>7</v>
      </c>
      <c r="B66" s="23"/>
      <c r="C66" s="3"/>
      <c r="D66" s="3"/>
      <c r="E66" s="3"/>
      <c r="F66" s="3"/>
      <c r="G66" s="23"/>
      <c r="H66" s="3"/>
      <c r="I66" s="63">
        <v>0</v>
      </c>
      <c r="J66" s="63">
        <v>-2.1333333333333315E-2</v>
      </c>
      <c r="K66" s="63">
        <v>-2.9972752043596729E-2</v>
      </c>
      <c r="L66" s="23"/>
      <c r="M66" s="63"/>
      <c r="N66" s="63">
        <v>-1.7492711370262426E-2</v>
      </c>
      <c r="O66" s="63">
        <v>-8.9020771513352859E-3</v>
      </c>
      <c r="P66" s="310"/>
      <c r="Q66" s="63">
        <v>-8.9820359281437279E-3</v>
      </c>
      <c r="R66" s="23"/>
      <c r="S66" s="63">
        <v>2.114803625377637E-2</v>
      </c>
      <c r="T66" s="63">
        <v>-5.6213017751479244E-2</v>
      </c>
      <c r="U66" s="63">
        <v>-1.8808777429467072E-2</v>
      </c>
      <c r="V66" s="310"/>
      <c r="W66" s="63">
        <v>1.2779552715654896E-2</v>
      </c>
      <c r="X66" s="23"/>
      <c r="Y66" s="63">
        <v>-6.3091482649841879E-3</v>
      </c>
      <c r="Z66" s="63">
        <v>0</v>
      </c>
      <c r="AA66" s="63">
        <v>9.52380952380949E-3</v>
      </c>
      <c r="AB66" s="310"/>
      <c r="AC66" s="63">
        <v>1.2578616352201255E-2</v>
      </c>
      <c r="AD66" s="23"/>
    </row>
    <row r="67" spans="1:30">
      <c r="A67" s="62" t="s">
        <v>8</v>
      </c>
      <c r="B67" s="23"/>
      <c r="C67" s="3"/>
      <c r="D67" s="3"/>
      <c r="E67" s="3"/>
      <c r="F67" s="3"/>
      <c r="G67" s="23"/>
      <c r="H67" s="3"/>
      <c r="I67" s="3"/>
      <c r="J67" s="3"/>
      <c r="K67" s="3"/>
      <c r="L67" s="23">
        <v>-0.1072727272727273</v>
      </c>
      <c r="M67" s="64">
        <v>-8.5333333333333372E-2</v>
      </c>
      <c r="N67" s="64">
        <v>-0.10133333333333339</v>
      </c>
      <c r="O67" s="64">
        <v>-8.9918256130790186E-2</v>
      </c>
      <c r="P67" s="311"/>
      <c r="Q67" s="64">
        <v>-7.02247191011236E-2</v>
      </c>
      <c r="R67" s="23">
        <v>-8.6897488119484056E-2</v>
      </c>
      <c r="S67" s="64">
        <v>-1.4577259475218707E-2</v>
      </c>
      <c r="T67" s="64">
        <v>-5.3412462908011826E-2</v>
      </c>
      <c r="U67" s="64">
        <v>-6.2874251497005984E-2</v>
      </c>
      <c r="V67" s="311">
        <v>-4.3392504930966469E-2</v>
      </c>
      <c r="W67" s="64">
        <v>-4.2296072507552851E-2</v>
      </c>
      <c r="X67" s="23">
        <v>-4.3122676579925634E-2</v>
      </c>
      <c r="Y67" s="64">
        <v>-6.8047337278106523E-2</v>
      </c>
      <c r="Z67" s="64">
        <v>-1.2539184952978011E-2</v>
      </c>
      <c r="AA67" s="64">
        <v>1.5974440894568787E-2</v>
      </c>
      <c r="AB67" s="311">
        <v>-2.2680412371134051E-2</v>
      </c>
      <c r="AC67" s="64">
        <v>1.577287066246047E-2</v>
      </c>
      <c r="AD67" s="23">
        <v>-1.3209013209013243E-2</v>
      </c>
    </row>
    <row r="68" spans="1:30">
      <c r="A68" s="60" t="s">
        <v>222</v>
      </c>
      <c r="B68" s="82" t="s">
        <v>35</v>
      </c>
      <c r="C68" s="73" t="s">
        <v>35</v>
      </c>
      <c r="D68" s="73" t="s">
        <v>35</v>
      </c>
      <c r="E68" s="73" t="s">
        <v>35</v>
      </c>
      <c r="F68" s="73" t="s">
        <v>35</v>
      </c>
      <c r="G68" s="159">
        <v>285</v>
      </c>
      <c r="H68" s="61">
        <v>79</v>
      </c>
      <c r="I68" s="61">
        <v>79</v>
      </c>
      <c r="J68" s="61">
        <v>81</v>
      </c>
      <c r="K68" s="61">
        <v>84</v>
      </c>
      <c r="L68" s="159">
        <v>323</v>
      </c>
      <c r="M68" s="61">
        <v>78</v>
      </c>
      <c r="N68" s="61">
        <v>81</v>
      </c>
      <c r="O68" s="61">
        <v>93</v>
      </c>
      <c r="P68" s="312">
        <v>252</v>
      </c>
      <c r="Q68" s="61">
        <v>82</v>
      </c>
      <c r="R68" s="159">
        <v>334</v>
      </c>
      <c r="S68" s="61">
        <v>76</v>
      </c>
      <c r="T68" s="61">
        <v>78</v>
      </c>
      <c r="U68" s="61">
        <v>76</v>
      </c>
      <c r="V68" s="312">
        <v>230</v>
      </c>
      <c r="W68" s="61">
        <v>80</v>
      </c>
      <c r="X68" s="159">
        <v>310</v>
      </c>
      <c r="Y68" s="61">
        <v>75</v>
      </c>
      <c r="Z68" s="61">
        <v>75</v>
      </c>
      <c r="AA68" s="61">
        <v>77</v>
      </c>
      <c r="AB68" s="312">
        <v>227</v>
      </c>
      <c r="AC68" s="61">
        <v>65</v>
      </c>
      <c r="AD68" s="159">
        <v>292</v>
      </c>
    </row>
    <row r="69" spans="1:30">
      <c r="A69" s="72" t="s">
        <v>7</v>
      </c>
      <c r="B69" s="23"/>
      <c r="C69" s="3"/>
      <c r="D69" s="3"/>
      <c r="E69" s="3"/>
      <c r="F69" s="3"/>
      <c r="G69" s="159"/>
      <c r="H69" s="3"/>
      <c r="I69" s="63">
        <v>0</v>
      </c>
      <c r="J69" s="63">
        <v>2.5316455696202445E-2</v>
      </c>
      <c r="K69" s="63">
        <v>3.7037037037036979E-2</v>
      </c>
      <c r="L69" s="23"/>
      <c r="M69" s="63"/>
      <c r="N69" s="63">
        <v>3.8461538461538547E-2</v>
      </c>
      <c r="O69" s="63">
        <v>0.14814814814814814</v>
      </c>
      <c r="P69" s="310"/>
      <c r="Q69" s="63">
        <v>-0.11827956989247312</v>
      </c>
      <c r="R69" s="23"/>
      <c r="S69" s="63">
        <v>-7.3170731707317027E-2</v>
      </c>
      <c r="T69" s="63">
        <v>2.6315789473684292E-2</v>
      </c>
      <c r="U69" s="63">
        <v>-2.5641025641025661E-2</v>
      </c>
      <c r="V69" s="310"/>
      <c r="W69" s="63">
        <v>5.2631578947368363E-2</v>
      </c>
      <c r="X69" s="23"/>
      <c r="Y69" s="63">
        <v>-6.25E-2</v>
      </c>
      <c r="Z69" s="63">
        <v>0</v>
      </c>
      <c r="AA69" s="63">
        <v>2.6666666666666616E-2</v>
      </c>
      <c r="AB69" s="310"/>
      <c r="AC69" s="63">
        <v>-0.1558441558441559</v>
      </c>
      <c r="AD69" s="23"/>
    </row>
    <row r="70" spans="1:30">
      <c r="A70" s="72" t="s">
        <v>8</v>
      </c>
      <c r="B70" s="23"/>
      <c r="C70" s="3"/>
      <c r="D70" s="3"/>
      <c r="E70" s="3"/>
      <c r="F70" s="3"/>
      <c r="G70" s="159"/>
      <c r="H70" s="3"/>
      <c r="I70" s="3"/>
      <c r="J70" s="3"/>
      <c r="K70" s="3"/>
      <c r="L70" s="23">
        <v>0.1333333333333333</v>
      </c>
      <c r="M70" s="64">
        <v>-1.2658227848101222E-2</v>
      </c>
      <c r="N70" s="64">
        <v>2.5316455696202445E-2</v>
      </c>
      <c r="O70" s="64">
        <v>0.14814814814814814</v>
      </c>
      <c r="P70" s="311"/>
      <c r="Q70" s="64">
        <v>-2.3809523809523836E-2</v>
      </c>
      <c r="R70" s="23">
        <v>3.4055727554179516E-2</v>
      </c>
      <c r="S70" s="64">
        <v>-2.5641025641025661E-2</v>
      </c>
      <c r="T70" s="64">
        <v>-3.703703703703709E-2</v>
      </c>
      <c r="U70" s="64">
        <v>-0.18279569892473113</v>
      </c>
      <c r="V70" s="311">
        <v>-8.7301587301587324E-2</v>
      </c>
      <c r="W70" s="64">
        <v>-2.4390243902439046E-2</v>
      </c>
      <c r="X70" s="23">
        <v>-7.1856287425149712E-2</v>
      </c>
      <c r="Y70" s="64">
        <v>-1.3157894736842146E-2</v>
      </c>
      <c r="Z70" s="64">
        <v>-3.8461538461538436E-2</v>
      </c>
      <c r="AA70" s="64">
        <v>1.3157894736842035E-2</v>
      </c>
      <c r="AB70" s="311">
        <v>-1.3043478260869601E-2</v>
      </c>
      <c r="AC70" s="64">
        <v>-0.1875</v>
      </c>
      <c r="AD70" s="23">
        <v>-5.8064516129032295E-2</v>
      </c>
    </row>
    <row r="71" spans="1:30">
      <c r="A71" s="60" t="s">
        <v>69</v>
      </c>
      <c r="B71" s="82" t="s">
        <v>35</v>
      </c>
      <c r="C71" s="73" t="s">
        <v>35</v>
      </c>
      <c r="D71" s="73" t="s">
        <v>35</v>
      </c>
      <c r="E71" s="73" t="s">
        <v>35</v>
      </c>
      <c r="F71" s="73" t="s">
        <v>35</v>
      </c>
      <c r="G71" s="159">
        <v>245</v>
      </c>
      <c r="H71" s="61">
        <v>58</v>
      </c>
      <c r="I71" s="61">
        <v>60</v>
      </c>
      <c r="J71" s="61">
        <v>56</v>
      </c>
      <c r="K71" s="61">
        <v>59</v>
      </c>
      <c r="L71" s="159">
        <v>233</v>
      </c>
      <c r="M71" s="61">
        <v>55</v>
      </c>
      <c r="N71" s="61">
        <v>51</v>
      </c>
      <c r="O71" s="61">
        <v>50</v>
      </c>
      <c r="P71" s="312">
        <v>156</v>
      </c>
      <c r="Q71" s="61">
        <v>53</v>
      </c>
      <c r="R71" s="159">
        <v>209</v>
      </c>
      <c r="S71" s="61">
        <v>51</v>
      </c>
      <c r="T71" s="61">
        <v>47</v>
      </c>
      <c r="U71" s="61">
        <v>48</v>
      </c>
      <c r="V71" s="312">
        <v>146</v>
      </c>
      <c r="W71" s="61">
        <v>49</v>
      </c>
      <c r="X71" s="159">
        <v>195</v>
      </c>
      <c r="Y71" s="61">
        <v>47</v>
      </c>
      <c r="Z71" s="61">
        <v>44</v>
      </c>
      <c r="AA71" s="61">
        <v>43</v>
      </c>
      <c r="AB71" s="312">
        <v>134</v>
      </c>
      <c r="AC71" s="61">
        <v>48</v>
      </c>
      <c r="AD71" s="159">
        <v>182</v>
      </c>
    </row>
    <row r="72" spans="1:30">
      <c r="A72" s="62" t="s">
        <v>7</v>
      </c>
      <c r="B72" s="23"/>
      <c r="C72" s="3"/>
      <c r="D72" s="3"/>
      <c r="E72" s="3"/>
      <c r="F72" s="3"/>
      <c r="G72" s="159"/>
      <c r="H72" s="3"/>
      <c r="I72" s="63">
        <v>3.4482758620689724E-2</v>
      </c>
      <c r="J72" s="63">
        <v>-6.6666666666666652E-2</v>
      </c>
      <c r="K72" s="63">
        <v>5.3571428571428603E-2</v>
      </c>
      <c r="L72" s="23"/>
      <c r="M72" s="63"/>
      <c r="N72" s="63">
        <v>-7.2727272727272751E-2</v>
      </c>
      <c r="O72" s="63">
        <v>-1.9607843137254943E-2</v>
      </c>
      <c r="P72" s="310"/>
      <c r="Q72" s="63">
        <v>6.0000000000000053E-2</v>
      </c>
      <c r="R72" s="23"/>
      <c r="S72" s="63">
        <v>-3.7735849056603765E-2</v>
      </c>
      <c r="T72" s="63">
        <v>-7.8431372549019662E-2</v>
      </c>
      <c r="U72" s="63">
        <v>2.1276595744680771E-2</v>
      </c>
      <c r="V72" s="310"/>
      <c r="W72" s="63">
        <v>2.0833333333333259E-2</v>
      </c>
      <c r="X72" s="23"/>
      <c r="Y72" s="63">
        <v>-4.081632653061229E-2</v>
      </c>
      <c r="Z72" s="63">
        <v>-6.3829787234042534E-2</v>
      </c>
      <c r="AA72" s="63">
        <v>-2.2727272727272707E-2</v>
      </c>
      <c r="AB72" s="310"/>
      <c r="AC72" s="63">
        <v>0.11627906976744184</v>
      </c>
      <c r="AD72" s="23"/>
    </row>
    <row r="73" spans="1:30">
      <c r="A73" s="62" t="s">
        <v>8</v>
      </c>
      <c r="B73" s="23"/>
      <c r="C73" s="3"/>
      <c r="D73" s="3"/>
      <c r="E73" s="3"/>
      <c r="F73" s="3"/>
      <c r="G73" s="159"/>
      <c r="H73" s="3"/>
      <c r="I73" s="3"/>
      <c r="J73" s="3"/>
      <c r="K73" s="3"/>
      <c r="L73" s="23">
        <v>-4.8979591836734726E-2</v>
      </c>
      <c r="M73" s="64">
        <v>-5.1724137931034475E-2</v>
      </c>
      <c r="N73" s="64">
        <v>-0.15000000000000002</v>
      </c>
      <c r="O73" s="64">
        <v>-0.1071428571428571</v>
      </c>
      <c r="P73" s="311"/>
      <c r="Q73" s="64">
        <v>-0.10169491525423724</v>
      </c>
      <c r="R73" s="23">
        <v>-0.10300429184549353</v>
      </c>
      <c r="S73" s="64">
        <v>-7.2727272727272751E-2</v>
      </c>
      <c r="T73" s="64">
        <v>-7.8431372549019662E-2</v>
      </c>
      <c r="U73" s="64">
        <v>-4.0000000000000036E-2</v>
      </c>
      <c r="V73" s="311">
        <v>-6.4102564102564097E-2</v>
      </c>
      <c r="W73" s="64">
        <v>-7.547169811320753E-2</v>
      </c>
      <c r="X73" s="23">
        <v>-6.6985645933014371E-2</v>
      </c>
      <c r="Y73" s="64">
        <v>-7.8431372549019662E-2</v>
      </c>
      <c r="Z73" s="64">
        <v>-6.3829787234042534E-2</v>
      </c>
      <c r="AA73" s="64">
        <v>-0.10416666666666663</v>
      </c>
      <c r="AB73" s="311">
        <v>-8.2191780821917804E-2</v>
      </c>
      <c r="AC73" s="64">
        <v>-2.0408163265306145E-2</v>
      </c>
      <c r="AD73" s="23">
        <v>-6.6666666666666652E-2</v>
      </c>
    </row>
    <row r="74" spans="1:30">
      <c r="A74" s="60" t="s">
        <v>61</v>
      </c>
      <c r="B74" s="82" t="s">
        <v>35</v>
      </c>
      <c r="C74" s="73" t="s">
        <v>35</v>
      </c>
      <c r="D74" s="73" t="s">
        <v>35</v>
      </c>
      <c r="E74" s="73" t="s">
        <v>35</v>
      </c>
      <c r="F74" s="73" t="s">
        <v>35</v>
      </c>
      <c r="G74" s="159">
        <v>957</v>
      </c>
      <c r="H74" s="61">
        <v>237</v>
      </c>
      <c r="I74" s="61">
        <v>246</v>
      </c>
      <c r="J74" s="61">
        <v>229</v>
      </c>
      <c r="K74" s="61">
        <v>244</v>
      </c>
      <c r="L74" s="159">
        <v>956</v>
      </c>
      <c r="M74" s="61">
        <v>226</v>
      </c>
      <c r="N74" s="61">
        <v>222</v>
      </c>
      <c r="O74" s="61">
        <v>219</v>
      </c>
      <c r="P74" s="312">
        <v>667</v>
      </c>
      <c r="Q74" s="61">
        <v>228</v>
      </c>
      <c r="R74" s="159">
        <v>895</v>
      </c>
      <c r="S74" s="61">
        <v>222</v>
      </c>
      <c r="T74" s="61">
        <v>212</v>
      </c>
      <c r="U74" s="61">
        <v>204</v>
      </c>
      <c r="V74" s="312">
        <v>638</v>
      </c>
      <c r="W74" s="61">
        <v>200</v>
      </c>
      <c r="X74" s="159">
        <v>838</v>
      </c>
      <c r="Y74" s="61">
        <v>213</v>
      </c>
      <c r="Z74" s="61">
        <v>199</v>
      </c>
      <c r="AA74" s="61">
        <v>208</v>
      </c>
      <c r="AB74" s="312">
        <v>620</v>
      </c>
      <c r="AC74" s="61">
        <v>205</v>
      </c>
      <c r="AD74" s="159">
        <v>825</v>
      </c>
    </row>
    <row r="75" spans="1:30">
      <c r="A75" s="62" t="s">
        <v>7</v>
      </c>
      <c r="B75" s="23"/>
      <c r="C75" s="3"/>
      <c r="D75" s="3"/>
      <c r="E75" s="3"/>
      <c r="F75" s="3"/>
      <c r="G75" s="234"/>
      <c r="H75" s="3"/>
      <c r="I75" s="63">
        <v>3.7974683544303778E-2</v>
      </c>
      <c r="J75" s="63">
        <v>-6.9105691056910556E-2</v>
      </c>
      <c r="K75" s="63">
        <v>6.5502183406113579E-2</v>
      </c>
      <c r="L75" s="23"/>
      <c r="M75" s="63"/>
      <c r="N75" s="63">
        <v>-1.7699115044247815E-2</v>
      </c>
      <c r="O75" s="63">
        <v>-1.3513513513513487E-2</v>
      </c>
      <c r="P75" s="310"/>
      <c r="Q75" s="63">
        <v>4.1095890410958846E-2</v>
      </c>
      <c r="R75" s="23"/>
      <c r="S75" s="63">
        <v>-2.6315789473684181E-2</v>
      </c>
      <c r="T75" s="63">
        <v>-4.5045045045045029E-2</v>
      </c>
      <c r="U75" s="63">
        <v>-3.7735849056603765E-2</v>
      </c>
      <c r="V75" s="310"/>
      <c r="W75" s="63">
        <v>-1.9607843137254943E-2</v>
      </c>
      <c r="X75" s="23"/>
      <c r="Y75" s="63">
        <v>6.4999999999999947E-2</v>
      </c>
      <c r="Z75" s="63">
        <v>-6.5727699530516381E-2</v>
      </c>
      <c r="AA75" s="63">
        <v>4.5226130653266416E-2</v>
      </c>
      <c r="AB75" s="310"/>
      <c r="AC75" s="63">
        <v>-1.4423076923076872E-2</v>
      </c>
      <c r="AD75" s="23"/>
    </row>
    <row r="76" spans="1:30">
      <c r="A76" s="62" t="s">
        <v>8</v>
      </c>
      <c r="B76" s="23"/>
      <c r="C76" s="3"/>
      <c r="D76" s="3"/>
      <c r="E76" s="3"/>
      <c r="F76" s="3"/>
      <c r="G76" s="159"/>
      <c r="H76" s="3"/>
      <c r="I76" s="3"/>
      <c r="J76" s="3"/>
      <c r="K76" s="3"/>
      <c r="L76" s="23">
        <v>-1.0449320794148065E-3</v>
      </c>
      <c r="M76" s="64">
        <v>-4.641350210970463E-2</v>
      </c>
      <c r="N76" s="64">
        <v>-9.7560975609756073E-2</v>
      </c>
      <c r="O76" s="64">
        <v>-4.3668122270742349E-2</v>
      </c>
      <c r="P76" s="311"/>
      <c r="Q76" s="64">
        <v>-6.557377049180324E-2</v>
      </c>
      <c r="R76" s="23">
        <v>-6.3807531380753124E-2</v>
      </c>
      <c r="S76" s="64">
        <v>-1.7699115044247815E-2</v>
      </c>
      <c r="T76" s="64">
        <v>-4.5045045045045029E-2</v>
      </c>
      <c r="U76" s="64">
        <v>-6.8493150684931559E-2</v>
      </c>
      <c r="V76" s="311">
        <v>-4.3478260869565188E-2</v>
      </c>
      <c r="W76" s="64">
        <v>-0.1228070175438597</v>
      </c>
      <c r="X76" s="23">
        <v>-6.3687150837988815E-2</v>
      </c>
      <c r="Y76" s="64">
        <v>-4.0540540540540571E-2</v>
      </c>
      <c r="Z76" s="64">
        <v>-6.1320754716981174E-2</v>
      </c>
      <c r="AA76" s="64">
        <v>1.9607843137254832E-2</v>
      </c>
      <c r="AB76" s="311">
        <v>-2.8213166144200663E-2</v>
      </c>
      <c r="AC76" s="64">
        <v>2.4999999999999911E-2</v>
      </c>
      <c r="AD76" s="23">
        <v>-1.5513126491646823E-2</v>
      </c>
    </row>
    <row r="77" spans="1:30">
      <c r="A77" s="60" t="s">
        <v>206</v>
      </c>
      <c r="B77" s="82" t="s">
        <v>35</v>
      </c>
      <c r="C77" s="73" t="s">
        <v>35</v>
      </c>
      <c r="D77" s="73" t="s">
        <v>35</v>
      </c>
      <c r="E77" s="73" t="s">
        <v>35</v>
      </c>
      <c r="F77" s="73" t="s">
        <v>35</v>
      </c>
      <c r="G77" s="199">
        <v>0</v>
      </c>
      <c r="H77" s="61">
        <v>2</v>
      </c>
      <c r="I77" s="61">
        <v>7</v>
      </c>
      <c r="J77" s="61">
        <v>0</v>
      </c>
      <c r="K77" s="61">
        <v>8</v>
      </c>
      <c r="L77" s="159">
        <v>17</v>
      </c>
      <c r="M77" s="61">
        <v>43</v>
      </c>
      <c r="N77" s="165">
        <v>-9</v>
      </c>
      <c r="O77" s="165">
        <v>1</v>
      </c>
      <c r="P77" s="312">
        <v>35</v>
      </c>
      <c r="Q77" s="61">
        <v>7</v>
      </c>
      <c r="R77" s="159">
        <v>42</v>
      </c>
      <c r="S77" s="61">
        <v>0</v>
      </c>
      <c r="T77" s="165">
        <v>-12</v>
      </c>
      <c r="U77" s="165">
        <v>1</v>
      </c>
      <c r="V77" s="312">
        <v>-11</v>
      </c>
      <c r="W77" s="165">
        <v>-3</v>
      </c>
      <c r="X77" s="159">
        <v>-14</v>
      </c>
      <c r="Y77" s="165">
        <v>-2</v>
      </c>
      <c r="Z77" s="61">
        <v>0</v>
      </c>
      <c r="AA77" s="165">
        <v>1</v>
      </c>
      <c r="AB77" s="312">
        <v>-1</v>
      </c>
      <c r="AC77" s="165">
        <v>13</v>
      </c>
      <c r="AD77" s="159">
        <v>12</v>
      </c>
    </row>
    <row r="78" spans="1:30">
      <c r="A78" s="62" t="s">
        <v>7</v>
      </c>
      <c r="B78" s="23"/>
      <c r="C78" s="3"/>
      <c r="D78" s="3"/>
      <c r="E78" s="3"/>
      <c r="F78" s="3"/>
      <c r="G78" s="159"/>
      <c r="H78" s="3"/>
      <c r="I78" s="63">
        <v>2.5</v>
      </c>
      <c r="J78" s="75" t="s">
        <v>34</v>
      </c>
      <c r="K78" s="75" t="s">
        <v>34</v>
      </c>
      <c r="L78" s="159"/>
      <c r="M78" s="63"/>
      <c r="N78" s="3"/>
      <c r="O78" s="75" t="s">
        <v>34</v>
      </c>
      <c r="P78" s="313"/>
      <c r="Q78" s="63">
        <v>6</v>
      </c>
      <c r="R78" s="159"/>
      <c r="S78" s="75" t="s">
        <v>34</v>
      </c>
      <c r="T78" s="75" t="s">
        <v>34</v>
      </c>
      <c r="U78" s="75" t="s">
        <v>34</v>
      </c>
      <c r="V78" s="313"/>
      <c r="W78" s="75" t="s">
        <v>34</v>
      </c>
      <c r="X78" s="159"/>
      <c r="Y78" s="63">
        <v>-0.33333333333333337</v>
      </c>
      <c r="Z78" s="75" t="s">
        <v>34</v>
      </c>
      <c r="AA78" s="75" t="s">
        <v>34</v>
      </c>
      <c r="AB78" s="313"/>
      <c r="AC78" s="63">
        <v>12</v>
      </c>
      <c r="AD78" s="159"/>
    </row>
    <row r="79" spans="1:30">
      <c r="A79" s="62" t="s">
        <v>8</v>
      </c>
      <c r="B79" s="23"/>
      <c r="C79" s="3"/>
      <c r="D79" s="3"/>
      <c r="E79" s="3"/>
      <c r="F79" s="3"/>
      <c r="G79" s="159"/>
      <c r="H79" s="3"/>
      <c r="I79" s="3"/>
      <c r="J79" s="3"/>
      <c r="K79" s="3"/>
      <c r="L79" s="82" t="s">
        <v>34</v>
      </c>
      <c r="M79" s="64"/>
      <c r="N79" s="3"/>
      <c r="O79" s="75" t="s">
        <v>34</v>
      </c>
      <c r="P79" s="311"/>
      <c r="Q79" s="64">
        <v>-0.125</v>
      </c>
      <c r="R79" s="23">
        <v>1.4705882352941178</v>
      </c>
      <c r="S79" s="75" t="s">
        <v>34</v>
      </c>
      <c r="T79" s="64">
        <v>0.33333333333333326</v>
      </c>
      <c r="U79" s="64">
        <v>0</v>
      </c>
      <c r="V79" s="311">
        <v>-1.3142857142857143</v>
      </c>
      <c r="W79" s="75" t="s">
        <v>34</v>
      </c>
      <c r="X79" s="82" t="s">
        <v>34</v>
      </c>
      <c r="Y79" s="75" t="s">
        <v>34</v>
      </c>
      <c r="Z79" s="75" t="s">
        <v>34</v>
      </c>
      <c r="AA79" s="64">
        <v>0</v>
      </c>
      <c r="AB79" s="311">
        <v>-0.90909090909090906</v>
      </c>
      <c r="AC79" s="75" t="s">
        <v>34</v>
      </c>
      <c r="AD79" s="82" t="s">
        <v>34</v>
      </c>
    </row>
    <row r="80" spans="1:30">
      <c r="A80" s="60" t="s">
        <v>358</v>
      </c>
      <c r="B80" s="23"/>
      <c r="C80" s="3"/>
      <c r="D80" s="3"/>
      <c r="E80" s="3"/>
      <c r="F80" s="3"/>
      <c r="G80" s="159">
        <v>1487</v>
      </c>
      <c r="H80" s="3"/>
      <c r="I80" s="3"/>
      <c r="J80" s="3"/>
      <c r="K80" s="3"/>
      <c r="L80" s="159">
        <v>1529</v>
      </c>
      <c r="M80" s="165">
        <v>402</v>
      </c>
      <c r="N80" s="165">
        <v>345</v>
      </c>
      <c r="O80" s="165">
        <v>363</v>
      </c>
      <c r="P80" s="312">
        <v>1110</v>
      </c>
      <c r="Q80" s="165">
        <v>370</v>
      </c>
      <c r="R80" s="159">
        <v>1480</v>
      </c>
      <c r="S80" s="165">
        <v>349</v>
      </c>
      <c r="T80" s="165">
        <v>325</v>
      </c>
      <c r="U80" s="165">
        <v>329</v>
      </c>
      <c r="V80" s="312">
        <v>1003</v>
      </c>
      <c r="W80" s="165">
        <v>326</v>
      </c>
      <c r="X80" s="159">
        <v>1329</v>
      </c>
      <c r="Y80" s="165">
        <v>333</v>
      </c>
      <c r="Z80" s="165">
        <v>318</v>
      </c>
      <c r="AA80" s="165">
        <v>329</v>
      </c>
      <c r="AB80" s="312">
        <v>980</v>
      </c>
      <c r="AC80" s="165">
        <v>331</v>
      </c>
      <c r="AD80" s="159">
        <v>1311</v>
      </c>
    </row>
    <row r="81" spans="1:30" ht="7.5" customHeight="1">
      <c r="A81" s="328"/>
      <c r="B81" s="316"/>
      <c r="C81" s="316"/>
      <c r="D81" s="316"/>
      <c r="E81" s="316"/>
      <c r="F81" s="322"/>
      <c r="G81" s="316"/>
      <c r="H81" s="316"/>
      <c r="I81" s="316"/>
      <c r="J81" s="316"/>
      <c r="K81" s="322"/>
      <c r="L81" s="316"/>
      <c r="M81" s="316"/>
      <c r="N81" s="316"/>
      <c r="O81" s="316"/>
      <c r="P81" s="316"/>
      <c r="Q81" s="322"/>
      <c r="R81" s="316"/>
      <c r="S81" s="316"/>
      <c r="T81" s="316"/>
      <c r="U81" s="316"/>
      <c r="V81" s="316"/>
      <c r="W81" s="322"/>
      <c r="X81" s="316"/>
      <c r="Y81" s="316"/>
      <c r="Z81" s="316"/>
      <c r="AA81" s="316"/>
      <c r="AB81" s="316"/>
      <c r="AC81" s="322"/>
      <c r="AD81" s="316"/>
    </row>
    <row r="82" spans="1:30">
      <c r="A82" s="60" t="s">
        <v>204</v>
      </c>
      <c r="B82" s="82" t="s">
        <v>35</v>
      </c>
      <c r="C82" s="73" t="s">
        <v>35</v>
      </c>
      <c r="D82" s="73" t="s">
        <v>35</v>
      </c>
      <c r="E82" s="73" t="s">
        <v>35</v>
      </c>
      <c r="F82" s="73" t="s">
        <v>35</v>
      </c>
      <c r="G82" s="159">
        <v>163</v>
      </c>
      <c r="H82" s="165">
        <v>-1</v>
      </c>
      <c r="I82" s="165">
        <v>-17</v>
      </c>
      <c r="J82" s="61">
        <v>1</v>
      </c>
      <c r="K82" s="165">
        <v>-39</v>
      </c>
      <c r="L82" s="159">
        <v>-56</v>
      </c>
      <c r="M82" s="165">
        <v>-59</v>
      </c>
      <c r="N82" s="165">
        <v>-8</v>
      </c>
      <c r="O82" s="165">
        <v>-29</v>
      </c>
      <c r="P82" s="312">
        <v>-96</v>
      </c>
      <c r="Q82" s="165">
        <v>-39</v>
      </c>
      <c r="R82" s="159">
        <v>-135</v>
      </c>
      <c r="S82" s="165">
        <v>-11</v>
      </c>
      <c r="T82" s="165">
        <v>-6</v>
      </c>
      <c r="U82" s="165">
        <v>-16</v>
      </c>
      <c r="V82" s="312">
        <v>-33</v>
      </c>
      <c r="W82" s="165">
        <v>-9</v>
      </c>
      <c r="X82" s="159">
        <v>-42</v>
      </c>
      <c r="Y82" s="165">
        <v>-18</v>
      </c>
      <c r="Z82" s="165">
        <v>-3</v>
      </c>
      <c r="AA82" s="165">
        <v>-11</v>
      </c>
      <c r="AB82" s="312">
        <v>-32</v>
      </c>
      <c r="AC82" s="165">
        <v>-9</v>
      </c>
      <c r="AD82" s="159">
        <v>-41</v>
      </c>
    </row>
    <row r="83" spans="1:30">
      <c r="A83" s="62" t="s">
        <v>7</v>
      </c>
      <c r="B83" s="23"/>
      <c r="C83" s="3"/>
      <c r="D83" s="3"/>
      <c r="E83" s="3"/>
      <c r="F83" s="3"/>
      <c r="G83" s="159"/>
      <c r="H83" s="3"/>
      <c r="I83" s="63">
        <v>16</v>
      </c>
      <c r="J83" s="75" t="s">
        <v>34</v>
      </c>
      <c r="K83" s="75" t="s">
        <v>34</v>
      </c>
      <c r="L83" s="159"/>
      <c r="M83" s="3"/>
      <c r="N83" s="63">
        <v>-0.86440677966101698</v>
      </c>
      <c r="O83" s="63">
        <v>2.625</v>
      </c>
      <c r="P83" s="310"/>
      <c r="Q83" s="63">
        <v>0.34482758620689657</v>
      </c>
      <c r="R83" s="159"/>
      <c r="S83" s="63">
        <v>-0.71794871794871795</v>
      </c>
      <c r="T83" s="63">
        <v>-0.45454545454545459</v>
      </c>
      <c r="U83" s="63">
        <v>1.6666666666666665</v>
      </c>
      <c r="V83" s="310"/>
      <c r="W83" s="63">
        <v>-0.4375</v>
      </c>
      <c r="X83" s="159"/>
      <c r="Y83" s="63">
        <v>1</v>
      </c>
      <c r="Z83" s="63">
        <v>-0.83333333333333337</v>
      </c>
      <c r="AA83" s="63">
        <v>2.6666666666666665</v>
      </c>
      <c r="AB83" s="310"/>
      <c r="AC83" s="63">
        <v>-0.18181818181818177</v>
      </c>
      <c r="AD83" s="159"/>
    </row>
    <row r="84" spans="1:30">
      <c r="A84" s="62" t="s">
        <v>8</v>
      </c>
      <c r="B84" s="23"/>
      <c r="C84" s="3"/>
      <c r="D84" s="3"/>
      <c r="E84" s="3"/>
      <c r="F84" s="3"/>
      <c r="G84" s="159"/>
      <c r="H84" s="3"/>
      <c r="I84" s="3"/>
      <c r="J84" s="3"/>
      <c r="K84" s="165"/>
      <c r="L84" s="82" t="s">
        <v>34</v>
      </c>
      <c r="M84" s="3"/>
      <c r="N84" s="64">
        <v>-0.52941176470588236</v>
      </c>
      <c r="O84" s="75" t="s">
        <v>34</v>
      </c>
      <c r="P84" s="311"/>
      <c r="Q84" s="64">
        <v>0</v>
      </c>
      <c r="R84" s="23">
        <v>1.4107142857142856</v>
      </c>
      <c r="S84" s="64">
        <v>-0.81355932203389836</v>
      </c>
      <c r="T84" s="64">
        <v>-0.25</v>
      </c>
      <c r="U84" s="64">
        <v>-0.44827586206896552</v>
      </c>
      <c r="V84" s="311">
        <v>-0.65625</v>
      </c>
      <c r="W84" s="64">
        <v>-0.76923076923076916</v>
      </c>
      <c r="X84" s="23">
        <v>-0.68888888888888888</v>
      </c>
      <c r="Y84" s="64">
        <v>0.63636363636363646</v>
      </c>
      <c r="Z84" s="64">
        <v>-0.5</v>
      </c>
      <c r="AA84" s="64">
        <v>-0.3125</v>
      </c>
      <c r="AB84" s="311">
        <v>-3.0303030303030276E-2</v>
      </c>
      <c r="AC84" s="64">
        <v>0</v>
      </c>
      <c r="AD84" s="23">
        <v>-2.3809523809523836E-2</v>
      </c>
    </row>
    <row r="85" spans="1:30">
      <c r="A85" s="60" t="s">
        <v>67</v>
      </c>
      <c r="B85" s="82" t="s">
        <v>35</v>
      </c>
      <c r="C85" s="73" t="s">
        <v>35</v>
      </c>
      <c r="D85" s="73" t="s">
        <v>35</v>
      </c>
      <c r="E85" s="73" t="s">
        <v>35</v>
      </c>
      <c r="F85" s="73" t="s">
        <v>35</v>
      </c>
      <c r="G85" s="159">
        <v>71</v>
      </c>
      <c r="H85" s="165">
        <v>-3</v>
      </c>
      <c r="I85" s="165">
        <v>-7</v>
      </c>
      <c r="J85" s="165">
        <v>3</v>
      </c>
      <c r="K85" s="165">
        <v>-4</v>
      </c>
      <c r="L85" s="159">
        <v>-11</v>
      </c>
      <c r="M85" s="165">
        <v>5</v>
      </c>
      <c r="N85" s="165">
        <v>2</v>
      </c>
      <c r="O85" s="165">
        <v>4</v>
      </c>
      <c r="P85" s="312">
        <v>11</v>
      </c>
      <c r="Q85" s="165">
        <v>1</v>
      </c>
      <c r="R85" s="159">
        <v>12</v>
      </c>
      <c r="S85" s="165">
        <v>-5</v>
      </c>
      <c r="T85" s="165">
        <v>4</v>
      </c>
      <c r="U85" s="165">
        <v>1</v>
      </c>
      <c r="V85" s="312">
        <v>0</v>
      </c>
      <c r="W85" s="165">
        <v>13</v>
      </c>
      <c r="X85" s="159">
        <v>13</v>
      </c>
      <c r="Y85" s="165">
        <v>-7</v>
      </c>
      <c r="Z85" s="165">
        <v>4</v>
      </c>
      <c r="AA85" s="165">
        <v>1</v>
      </c>
      <c r="AB85" s="312">
        <v>-2</v>
      </c>
      <c r="AC85" s="165">
        <v>3</v>
      </c>
      <c r="AD85" s="159">
        <v>1</v>
      </c>
    </row>
    <row r="86" spans="1:30">
      <c r="A86" s="62" t="s">
        <v>7</v>
      </c>
      <c r="B86" s="23"/>
      <c r="C86" s="3"/>
      <c r="D86" s="3"/>
      <c r="E86" s="3"/>
      <c r="F86" s="3"/>
      <c r="G86" s="159"/>
      <c r="H86" s="3"/>
      <c r="I86" s="63">
        <v>1.3333333333333335</v>
      </c>
      <c r="J86" s="75" t="s">
        <v>34</v>
      </c>
      <c r="K86" s="75" t="s">
        <v>34</v>
      </c>
      <c r="L86" s="159"/>
      <c r="M86" s="3"/>
      <c r="N86" s="3"/>
      <c r="O86" s="63">
        <v>1</v>
      </c>
      <c r="P86" s="310"/>
      <c r="Q86" s="63">
        <v>-0.75</v>
      </c>
      <c r="R86" s="159"/>
      <c r="S86" s="75" t="s">
        <v>34</v>
      </c>
      <c r="T86" s="75" t="s">
        <v>34</v>
      </c>
      <c r="U86" s="63">
        <v>-0.75</v>
      </c>
      <c r="V86" s="310"/>
      <c r="W86" s="63">
        <v>12</v>
      </c>
      <c r="X86" s="159"/>
      <c r="Y86" s="75" t="s">
        <v>34</v>
      </c>
      <c r="Z86" s="75" t="s">
        <v>34</v>
      </c>
      <c r="AA86" s="63">
        <v>-0.75</v>
      </c>
      <c r="AB86" s="310"/>
      <c r="AC86" s="63">
        <v>2</v>
      </c>
      <c r="AD86" s="159"/>
    </row>
    <row r="87" spans="1:30">
      <c r="A87" s="62" t="s">
        <v>8</v>
      </c>
      <c r="B87" s="23"/>
      <c r="C87" s="3"/>
      <c r="D87" s="3"/>
      <c r="E87" s="3"/>
      <c r="F87" s="3"/>
      <c r="G87" s="159"/>
      <c r="H87" s="3"/>
      <c r="I87" s="3"/>
      <c r="J87" s="3"/>
      <c r="K87" s="165"/>
      <c r="L87" s="82" t="s">
        <v>34</v>
      </c>
      <c r="M87" s="3"/>
      <c r="N87" s="3"/>
      <c r="O87" s="64">
        <v>0.33333333333333326</v>
      </c>
      <c r="P87" s="343"/>
      <c r="Q87" s="75" t="s">
        <v>34</v>
      </c>
      <c r="R87" s="82" t="s">
        <v>34</v>
      </c>
      <c r="S87" s="75" t="s">
        <v>34</v>
      </c>
      <c r="T87" s="64">
        <v>1</v>
      </c>
      <c r="U87" s="64">
        <v>-0.75</v>
      </c>
      <c r="V87" s="343">
        <v>-1</v>
      </c>
      <c r="W87" s="75" t="s">
        <v>34</v>
      </c>
      <c r="X87" s="82" t="s">
        <v>34</v>
      </c>
      <c r="Y87" s="64">
        <v>0.39999999999999991</v>
      </c>
      <c r="Z87" s="64">
        <v>0</v>
      </c>
      <c r="AA87" s="64">
        <v>0</v>
      </c>
      <c r="AB87" s="343" t="s">
        <v>34</v>
      </c>
      <c r="AC87" s="64">
        <v>-0.76923076923076916</v>
      </c>
      <c r="AD87" s="23">
        <v>-0.92307692307692313</v>
      </c>
    </row>
    <row r="88" spans="1:30">
      <c r="A88" s="60" t="s">
        <v>260</v>
      </c>
      <c r="B88" s="82" t="s">
        <v>35</v>
      </c>
      <c r="C88" s="73" t="s">
        <v>35</v>
      </c>
      <c r="D88" s="73" t="s">
        <v>35</v>
      </c>
      <c r="E88" s="73" t="s">
        <v>35</v>
      </c>
      <c r="F88" s="73" t="s">
        <v>35</v>
      </c>
      <c r="G88" s="159">
        <v>-244</v>
      </c>
      <c r="H88" s="165">
        <v>1</v>
      </c>
      <c r="I88" s="165">
        <v>-10</v>
      </c>
      <c r="J88" s="165">
        <v>-2</v>
      </c>
      <c r="K88" s="165">
        <v>-37</v>
      </c>
      <c r="L88" s="159">
        <v>-48</v>
      </c>
      <c r="M88" s="165">
        <v>-64</v>
      </c>
      <c r="N88" s="165">
        <v>-11</v>
      </c>
      <c r="O88" s="165">
        <v>-34</v>
      </c>
      <c r="P88" s="312">
        <v>-109</v>
      </c>
      <c r="Q88" s="165">
        <v>-40</v>
      </c>
      <c r="R88" s="159">
        <v>-149</v>
      </c>
      <c r="S88" s="165">
        <v>-6</v>
      </c>
      <c r="T88" s="165">
        <v>-11</v>
      </c>
      <c r="U88" s="165">
        <v>-18</v>
      </c>
      <c r="V88" s="312">
        <v>-35</v>
      </c>
      <c r="W88" s="165">
        <v>-22</v>
      </c>
      <c r="X88" s="159">
        <v>-57</v>
      </c>
      <c r="Y88" s="165">
        <v>-12</v>
      </c>
      <c r="Z88" s="165">
        <v>-7</v>
      </c>
      <c r="AA88" s="165">
        <v>-12</v>
      </c>
      <c r="AB88" s="312">
        <v>-31</v>
      </c>
      <c r="AC88" s="165">
        <v>-12</v>
      </c>
      <c r="AD88" s="159">
        <v>-43</v>
      </c>
    </row>
    <row r="89" spans="1:30">
      <c r="A89" s="62" t="s">
        <v>7</v>
      </c>
      <c r="B89" s="23"/>
      <c r="C89" s="3"/>
      <c r="D89" s="3"/>
      <c r="E89" s="3"/>
      <c r="F89" s="3"/>
      <c r="G89" s="159"/>
      <c r="H89" s="3"/>
      <c r="I89" s="75" t="s">
        <v>34</v>
      </c>
      <c r="J89" s="63">
        <v>-0.8</v>
      </c>
      <c r="K89" s="63">
        <v>17.5</v>
      </c>
      <c r="L89" s="23"/>
      <c r="M89" s="3"/>
      <c r="N89" s="63">
        <v>-0.828125</v>
      </c>
      <c r="O89" s="63">
        <v>2.0909090909090908</v>
      </c>
      <c r="P89" s="310"/>
      <c r="Q89" s="63">
        <v>0.17647058823529416</v>
      </c>
      <c r="R89" s="23"/>
      <c r="S89" s="63">
        <v>-0.85</v>
      </c>
      <c r="T89" s="63">
        <v>0.83333333333333326</v>
      </c>
      <c r="U89" s="63">
        <v>0.63636363636363646</v>
      </c>
      <c r="V89" s="310"/>
      <c r="W89" s="63">
        <v>0.22222222222222232</v>
      </c>
      <c r="X89" s="23"/>
      <c r="Y89" s="63">
        <v>-0.45454545454545459</v>
      </c>
      <c r="Z89" s="63">
        <v>-0.41666666666666663</v>
      </c>
      <c r="AA89" s="63">
        <v>0.71428571428571419</v>
      </c>
      <c r="AB89" s="310"/>
      <c r="AC89" s="63">
        <v>0</v>
      </c>
      <c r="AD89" s="23"/>
    </row>
    <row r="90" spans="1:30">
      <c r="A90" s="62" t="s">
        <v>8</v>
      </c>
      <c r="B90" s="23"/>
      <c r="C90" s="3"/>
      <c r="D90" s="3"/>
      <c r="E90" s="3"/>
      <c r="F90" s="3"/>
      <c r="G90" s="159"/>
      <c r="H90" s="3"/>
      <c r="I90" s="3"/>
      <c r="J90" s="3"/>
      <c r="K90" s="3"/>
      <c r="L90" s="23">
        <v>-0.80327868852459017</v>
      </c>
      <c r="M90" s="3"/>
      <c r="N90" s="64">
        <v>0.10000000000000009</v>
      </c>
      <c r="O90" s="64">
        <v>16</v>
      </c>
      <c r="P90" s="311"/>
      <c r="Q90" s="64">
        <v>8.1081081081081141E-2</v>
      </c>
      <c r="R90" s="23">
        <v>2.1041666666666665</v>
      </c>
      <c r="S90" s="64">
        <v>-0.90625</v>
      </c>
      <c r="T90" s="64">
        <v>0</v>
      </c>
      <c r="U90" s="64">
        <v>-0.47058823529411764</v>
      </c>
      <c r="V90" s="311">
        <v>-0.67889908256880727</v>
      </c>
      <c r="W90" s="64">
        <v>-0.44999999999999996</v>
      </c>
      <c r="X90" s="23">
        <v>-0.6174496644295302</v>
      </c>
      <c r="Y90" s="64">
        <v>1</v>
      </c>
      <c r="Z90" s="64">
        <v>-0.36363636363636365</v>
      </c>
      <c r="AA90" s="64">
        <v>-0.33333333333333337</v>
      </c>
      <c r="AB90" s="311">
        <v>-0.11428571428571432</v>
      </c>
      <c r="AC90" s="64">
        <v>-0.45454545454545459</v>
      </c>
      <c r="AD90" s="23">
        <v>-0.24561403508771928</v>
      </c>
    </row>
    <row r="91" spans="1:30">
      <c r="A91" s="79" t="s">
        <v>302</v>
      </c>
      <c r="B91" s="82" t="s">
        <v>35</v>
      </c>
      <c r="C91" s="73" t="s">
        <v>35</v>
      </c>
      <c r="D91" s="73" t="s">
        <v>35</v>
      </c>
      <c r="E91" s="73" t="s">
        <v>35</v>
      </c>
      <c r="F91" s="73" t="s">
        <v>35</v>
      </c>
      <c r="G91" s="159">
        <v>-244</v>
      </c>
      <c r="H91" s="165">
        <v>3</v>
      </c>
      <c r="I91" s="165">
        <v>-3</v>
      </c>
      <c r="J91" s="165">
        <v>-2</v>
      </c>
      <c r="K91" s="165">
        <v>-29</v>
      </c>
      <c r="L91" s="159">
        <v>-31</v>
      </c>
      <c r="M91" s="165">
        <v>-21</v>
      </c>
      <c r="N91" s="165">
        <v>-20</v>
      </c>
      <c r="O91" s="165">
        <v>-33</v>
      </c>
      <c r="P91" s="312">
        <v>-74</v>
      </c>
      <c r="Q91" s="165">
        <v>-33</v>
      </c>
      <c r="R91" s="159">
        <v>-107</v>
      </c>
      <c r="S91" s="165">
        <v>-6</v>
      </c>
      <c r="T91" s="165">
        <v>-23</v>
      </c>
      <c r="U91" s="165">
        <v>-17</v>
      </c>
      <c r="V91" s="312">
        <v>-46</v>
      </c>
      <c r="W91" s="165">
        <v>-25</v>
      </c>
      <c r="X91" s="159">
        <v>-71</v>
      </c>
      <c r="Y91" s="165">
        <v>-13</v>
      </c>
      <c r="Z91" s="165">
        <v>-6</v>
      </c>
      <c r="AA91" s="165">
        <v>-10</v>
      </c>
      <c r="AB91" s="312">
        <v>-29</v>
      </c>
      <c r="AC91" s="165">
        <v>1</v>
      </c>
      <c r="AD91" s="159">
        <v>-28</v>
      </c>
    </row>
    <row r="92" spans="1:30">
      <c r="A92" s="62" t="s">
        <v>7</v>
      </c>
      <c r="B92" s="23"/>
      <c r="C92" s="3"/>
      <c r="D92" s="3"/>
      <c r="E92" s="3"/>
      <c r="F92" s="3"/>
      <c r="G92" s="159"/>
      <c r="H92" s="63"/>
      <c r="I92" s="75" t="s">
        <v>34</v>
      </c>
      <c r="J92" s="63">
        <v>-0.33333333333333337</v>
      </c>
      <c r="K92" s="63">
        <v>13.5</v>
      </c>
      <c r="L92" s="23"/>
      <c r="M92" s="63">
        <v>-0.27586206896551724</v>
      </c>
      <c r="N92" s="63">
        <v>-4.7619047619047672E-2</v>
      </c>
      <c r="O92" s="63">
        <v>0.64999999999999991</v>
      </c>
      <c r="P92" s="310"/>
      <c r="Q92" s="63">
        <v>0</v>
      </c>
      <c r="R92" s="23"/>
      <c r="S92" s="63">
        <v>-0.81818181818181812</v>
      </c>
      <c r="T92" s="63">
        <v>2.8333333333333335</v>
      </c>
      <c r="U92" s="63">
        <v>-0.26086956521739135</v>
      </c>
      <c r="V92" s="310"/>
      <c r="W92" s="63">
        <v>0.47058823529411775</v>
      </c>
      <c r="X92" s="23"/>
      <c r="Y92" s="63">
        <v>-0.48</v>
      </c>
      <c r="Z92" s="63">
        <v>-0.53846153846153844</v>
      </c>
      <c r="AA92" s="63">
        <v>0.66666666666666674</v>
      </c>
      <c r="AB92" s="310"/>
      <c r="AC92" s="63">
        <v>-1.1000000000000001</v>
      </c>
      <c r="AD92" s="23"/>
    </row>
    <row r="93" spans="1:30">
      <c r="A93" s="62" t="s">
        <v>8</v>
      </c>
      <c r="B93" s="23"/>
      <c r="C93" s="3"/>
      <c r="D93" s="3"/>
      <c r="E93" s="3"/>
      <c r="F93" s="3"/>
      <c r="G93" s="159"/>
      <c r="H93" s="64"/>
      <c r="I93" s="64"/>
      <c r="J93" s="64"/>
      <c r="K93" s="64"/>
      <c r="L93" s="23">
        <v>-0.87295081967213117</v>
      </c>
      <c r="M93" s="75" t="s">
        <v>34</v>
      </c>
      <c r="N93" s="64">
        <v>5.666666666666667</v>
      </c>
      <c r="O93" s="64">
        <v>15.5</v>
      </c>
      <c r="P93" s="311"/>
      <c r="Q93" s="64">
        <v>0.13793103448275867</v>
      </c>
      <c r="R93" s="23">
        <v>2.4516129032258065</v>
      </c>
      <c r="S93" s="64">
        <v>-0.7142857142857143</v>
      </c>
      <c r="T93" s="64">
        <v>0.14999999999999991</v>
      </c>
      <c r="U93" s="64">
        <v>-0.48484848484848486</v>
      </c>
      <c r="V93" s="311">
        <v>-0.3783783783783784</v>
      </c>
      <c r="W93" s="64">
        <v>-0.24242424242424243</v>
      </c>
      <c r="X93" s="23">
        <v>-0.33644859813084116</v>
      </c>
      <c r="Y93" s="64">
        <v>1.1666666666666665</v>
      </c>
      <c r="Z93" s="64">
        <v>-0.73913043478260865</v>
      </c>
      <c r="AA93" s="64">
        <v>-0.41176470588235292</v>
      </c>
      <c r="AB93" s="311">
        <v>-0.36956521739130432</v>
      </c>
      <c r="AC93" s="64">
        <v>-1.04</v>
      </c>
      <c r="AD93" s="23">
        <v>-0.60563380281690149</v>
      </c>
    </row>
    <row r="94" spans="1:30">
      <c r="A94" s="60" t="s">
        <v>9</v>
      </c>
      <c r="B94" s="82" t="s">
        <v>35</v>
      </c>
      <c r="C94" s="73" t="s">
        <v>35</v>
      </c>
      <c r="D94" s="73" t="s">
        <v>35</v>
      </c>
      <c r="E94" s="73" t="s">
        <v>35</v>
      </c>
      <c r="F94" s="73" t="s">
        <v>35</v>
      </c>
      <c r="G94" s="159">
        <v>448</v>
      </c>
      <c r="H94" s="165">
        <v>78</v>
      </c>
      <c r="I94" s="165">
        <v>62</v>
      </c>
      <c r="J94" s="165">
        <v>82</v>
      </c>
      <c r="K94" s="61">
        <v>45</v>
      </c>
      <c r="L94" s="159">
        <v>267</v>
      </c>
      <c r="M94" s="165">
        <v>19</v>
      </c>
      <c r="N94" s="165">
        <v>73</v>
      </c>
      <c r="O94" s="165">
        <v>64</v>
      </c>
      <c r="P94" s="312">
        <v>156</v>
      </c>
      <c r="Q94" s="61">
        <v>43</v>
      </c>
      <c r="R94" s="159">
        <v>199</v>
      </c>
      <c r="S94" s="165">
        <v>65</v>
      </c>
      <c r="T94" s="165">
        <v>72</v>
      </c>
      <c r="U94" s="165">
        <v>60</v>
      </c>
      <c r="V94" s="312">
        <v>197</v>
      </c>
      <c r="W94" s="61">
        <v>71</v>
      </c>
      <c r="X94" s="159">
        <v>268</v>
      </c>
      <c r="Y94" s="165">
        <v>57</v>
      </c>
      <c r="Z94" s="165">
        <v>72</v>
      </c>
      <c r="AA94" s="165">
        <v>66</v>
      </c>
      <c r="AB94" s="312">
        <v>195</v>
      </c>
      <c r="AC94" s="165">
        <v>56</v>
      </c>
      <c r="AD94" s="159">
        <v>251</v>
      </c>
    </row>
    <row r="95" spans="1:30">
      <c r="A95" s="62" t="s">
        <v>7</v>
      </c>
      <c r="B95" s="23"/>
      <c r="C95" s="3"/>
      <c r="D95" s="3"/>
      <c r="E95" s="3"/>
      <c r="F95" s="3"/>
      <c r="G95" s="159"/>
      <c r="H95" s="3"/>
      <c r="I95" s="63">
        <v>-0.20512820512820518</v>
      </c>
      <c r="J95" s="63">
        <v>0.32258064516129026</v>
      </c>
      <c r="K95" s="63">
        <v>-0.45121951219512191</v>
      </c>
      <c r="L95" s="23"/>
      <c r="M95" s="63"/>
      <c r="N95" s="63">
        <v>2.8421052631578947</v>
      </c>
      <c r="O95" s="63">
        <v>-0.12328767123287676</v>
      </c>
      <c r="P95" s="310"/>
      <c r="Q95" s="63">
        <v>-0.328125</v>
      </c>
      <c r="R95" s="23"/>
      <c r="S95" s="63">
        <v>0.51162790697674421</v>
      </c>
      <c r="T95" s="63">
        <v>0.10769230769230775</v>
      </c>
      <c r="U95" s="63">
        <v>-0.16666666666666663</v>
      </c>
      <c r="V95" s="310"/>
      <c r="W95" s="63">
        <v>0.18333333333333335</v>
      </c>
      <c r="X95" s="23"/>
      <c r="Y95" s="63">
        <v>-0.19718309859154926</v>
      </c>
      <c r="Z95" s="63">
        <v>0.26315789473684204</v>
      </c>
      <c r="AA95" s="63">
        <v>-8.333333333333337E-2</v>
      </c>
      <c r="AB95" s="310"/>
      <c r="AC95" s="63">
        <v>-0.15151515151515149</v>
      </c>
      <c r="AD95" s="23"/>
    </row>
    <row r="96" spans="1:30">
      <c r="A96" s="62" t="s">
        <v>8</v>
      </c>
      <c r="B96" s="23"/>
      <c r="C96" s="3"/>
      <c r="D96" s="3"/>
      <c r="E96" s="3"/>
      <c r="F96" s="3"/>
      <c r="G96" s="159"/>
      <c r="H96" s="3"/>
      <c r="I96" s="3"/>
      <c r="J96" s="3"/>
      <c r="K96" s="3"/>
      <c r="L96" s="23">
        <v>-0.4040178571428571</v>
      </c>
      <c r="M96" s="64">
        <v>-0.75641025641025639</v>
      </c>
      <c r="N96" s="64">
        <v>0.17741935483870974</v>
      </c>
      <c r="O96" s="64">
        <v>-0.21951219512195119</v>
      </c>
      <c r="P96" s="311"/>
      <c r="Q96" s="64">
        <v>-4.4444444444444398E-2</v>
      </c>
      <c r="R96" s="23">
        <v>-0.25468164794007486</v>
      </c>
      <c r="S96" s="64">
        <v>2.4210526315789473</v>
      </c>
      <c r="T96" s="64">
        <v>-1.3698630136986356E-2</v>
      </c>
      <c r="U96" s="64">
        <v>-6.25E-2</v>
      </c>
      <c r="V96" s="311">
        <v>0.26282051282051277</v>
      </c>
      <c r="W96" s="64">
        <v>0.65116279069767447</v>
      </c>
      <c r="X96" s="23">
        <v>0.3467336683417086</v>
      </c>
      <c r="Y96" s="64">
        <v>-0.12307692307692308</v>
      </c>
      <c r="Z96" s="64">
        <v>0</v>
      </c>
      <c r="AA96" s="64">
        <v>0.10000000000000009</v>
      </c>
      <c r="AB96" s="311">
        <v>-1.0152284263959421E-2</v>
      </c>
      <c r="AC96" s="64">
        <v>-0.21126760563380287</v>
      </c>
      <c r="AD96" s="23">
        <v>-6.3432835820895539E-2</v>
      </c>
    </row>
    <row r="97" spans="1:30">
      <c r="A97" s="79" t="s">
        <v>290</v>
      </c>
      <c r="B97" s="82" t="s">
        <v>35</v>
      </c>
      <c r="C97" s="73" t="s">
        <v>35</v>
      </c>
      <c r="D97" s="73" t="s">
        <v>35</v>
      </c>
      <c r="E97" s="73" t="s">
        <v>35</v>
      </c>
      <c r="F97" s="73" t="s">
        <v>35</v>
      </c>
      <c r="G97" s="159">
        <v>448</v>
      </c>
      <c r="H97" s="165">
        <v>80</v>
      </c>
      <c r="I97" s="165">
        <v>69</v>
      </c>
      <c r="J97" s="165">
        <v>82</v>
      </c>
      <c r="K97" s="61">
        <v>53</v>
      </c>
      <c r="L97" s="159">
        <v>284</v>
      </c>
      <c r="M97" s="165">
        <v>62</v>
      </c>
      <c r="N97" s="165">
        <v>64</v>
      </c>
      <c r="O97" s="165">
        <v>65</v>
      </c>
      <c r="P97" s="312">
        <v>191</v>
      </c>
      <c r="Q97" s="61">
        <v>50</v>
      </c>
      <c r="R97" s="159">
        <v>241</v>
      </c>
      <c r="S97" s="165">
        <v>65</v>
      </c>
      <c r="T97" s="165">
        <v>60</v>
      </c>
      <c r="U97" s="165">
        <v>61</v>
      </c>
      <c r="V97" s="312">
        <v>186</v>
      </c>
      <c r="W97" s="61">
        <v>68</v>
      </c>
      <c r="X97" s="159">
        <v>254</v>
      </c>
      <c r="Y97" s="165">
        <v>56</v>
      </c>
      <c r="Z97" s="165">
        <v>73</v>
      </c>
      <c r="AA97" s="165">
        <v>68</v>
      </c>
      <c r="AB97" s="312">
        <v>197</v>
      </c>
      <c r="AC97" s="165">
        <v>69</v>
      </c>
      <c r="AD97" s="159">
        <v>266</v>
      </c>
    </row>
    <row r="98" spans="1:30">
      <c r="A98" s="62" t="s">
        <v>7</v>
      </c>
      <c r="B98" s="23"/>
      <c r="C98" s="3"/>
      <c r="D98" s="3"/>
      <c r="E98" s="3"/>
      <c r="F98" s="3"/>
      <c r="G98" s="159"/>
      <c r="H98" s="63"/>
      <c r="I98" s="63">
        <v>-0.13749999999999996</v>
      </c>
      <c r="J98" s="63">
        <v>0.18840579710144922</v>
      </c>
      <c r="K98" s="63">
        <v>-0.35365853658536583</v>
      </c>
      <c r="L98" s="23"/>
      <c r="M98" s="63">
        <v>0.16981132075471694</v>
      </c>
      <c r="N98" s="63">
        <v>3.2258064516129004E-2</v>
      </c>
      <c r="O98" s="63">
        <v>1.5625E-2</v>
      </c>
      <c r="P98" s="310"/>
      <c r="Q98" s="63">
        <v>-0.23076923076923073</v>
      </c>
      <c r="R98" s="23"/>
      <c r="S98" s="63">
        <v>0.30000000000000004</v>
      </c>
      <c r="T98" s="63">
        <v>-7.6923076923076872E-2</v>
      </c>
      <c r="U98" s="63">
        <v>1.6666666666666607E-2</v>
      </c>
      <c r="V98" s="310"/>
      <c r="W98" s="63">
        <v>0.11475409836065564</v>
      </c>
      <c r="X98" s="23"/>
      <c r="Y98" s="63">
        <v>-0.17647058823529416</v>
      </c>
      <c r="Z98" s="63">
        <v>0.3035714285714286</v>
      </c>
      <c r="AA98" s="63">
        <v>-6.8493150684931559E-2</v>
      </c>
      <c r="AB98" s="310"/>
      <c r="AC98" s="63">
        <v>1.4705882352941124E-2</v>
      </c>
      <c r="AD98" s="23"/>
    </row>
    <row r="99" spans="1:30">
      <c r="A99" s="62" t="s">
        <v>8</v>
      </c>
      <c r="B99" s="23"/>
      <c r="C99" s="3"/>
      <c r="D99" s="3"/>
      <c r="E99" s="3"/>
      <c r="F99" s="3"/>
      <c r="G99" s="159"/>
      <c r="H99" s="64"/>
      <c r="I99" s="64"/>
      <c r="J99" s="64"/>
      <c r="K99" s="64"/>
      <c r="L99" s="23">
        <v>-0.3660714285714286</v>
      </c>
      <c r="M99" s="64">
        <v>-0.22499999999999998</v>
      </c>
      <c r="N99" s="64">
        <v>-7.2463768115942018E-2</v>
      </c>
      <c r="O99" s="64">
        <v>-0.20731707317073167</v>
      </c>
      <c r="P99" s="311"/>
      <c r="Q99" s="64">
        <v>-5.6603773584905648E-2</v>
      </c>
      <c r="R99" s="23">
        <v>-0.15140845070422537</v>
      </c>
      <c r="S99" s="64">
        <v>4.8387096774193505E-2</v>
      </c>
      <c r="T99" s="64">
        <v>-6.25E-2</v>
      </c>
      <c r="U99" s="64">
        <v>-6.1538461538461542E-2</v>
      </c>
      <c r="V99" s="311">
        <v>-2.6178010471204161E-2</v>
      </c>
      <c r="W99" s="64">
        <v>0.3600000000000001</v>
      </c>
      <c r="X99" s="23">
        <v>5.3941908713692976E-2</v>
      </c>
      <c r="Y99" s="64">
        <v>-0.13846153846153841</v>
      </c>
      <c r="Z99" s="64">
        <v>0.21666666666666656</v>
      </c>
      <c r="AA99" s="64">
        <v>0.11475409836065564</v>
      </c>
      <c r="AB99" s="311">
        <v>5.9139784946236507E-2</v>
      </c>
      <c r="AC99" s="64">
        <v>1.4705882352941124E-2</v>
      </c>
      <c r="AD99" s="23">
        <v>4.7244094488188892E-2</v>
      </c>
    </row>
    <row r="100" spans="1:30" ht="3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61" max="2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8"/>
  <sheetViews>
    <sheetView showGridLines="0" tabSelected="1" zoomScaleNormal="100" workbookViewId="0">
      <pane xSplit="1" ySplit="7" topLeftCell="B50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50.7109375" bestFit="1" customWidth="1"/>
    <col min="3" max="6" width="9.140625" hidden="1" customWidth="1"/>
    <col min="11" max="11" width="0" hidden="1" customWidth="1"/>
    <col min="17" max="17" width="0" hidden="1" customWidth="1"/>
    <col min="23" max="23" width="0" hidden="1" customWidth="1"/>
  </cols>
  <sheetData>
    <row r="1" spans="1:25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5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5">
      <c r="A3" s="30"/>
      <c r="B3" s="45" t="s">
        <v>5</v>
      </c>
      <c r="C3" s="45" t="s">
        <v>68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68</v>
      </c>
      <c r="I3" s="45" t="s">
        <v>0</v>
      </c>
      <c r="J3" s="45" t="s">
        <v>1</v>
      </c>
      <c r="K3" s="45" t="s">
        <v>380</v>
      </c>
      <c r="L3" s="45" t="s">
        <v>2</v>
      </c>
      <c r="M3" s="45" t="s">
        <v>5</v>
      </c>
      <c r="N3" s="45" t="s">
        <v>68</v>
      </c>
      <c r="O3" s="45" t="s">
        <v>0</v>
      </c>
      <c r="P3" s="45" t="s">
        <v>1</v>
      </c>
      <c r="Q3" s="45" t="s">
        <v>380</v>
      </c>
      <c r="R3" s="45" t="s">
        <v>2</v>
      </c>
      <c r="S3" s="45" t="s">
        <v>5</v>
      </c>
      <c r="T3" s="45" t="s">
        <v>68</v>
      </c>
      <c r="U3" s="45" t="s">
        <v>0</v>
      </c>
      <c r="V3" s="45" t="s">
        <v>1</v>
      </c>
      <c r="W3" s="45" t="s">
        <v>380</v>
      </c>
      <c r="X3" s="45" t="s">
        <v>2</v>
      </c>
      <c r="Y3" s="45" t="s">
        <v>5</v>
      </c>
    </row>
    <row r="4" spans="1:25">
      <c r="A4" s="237" t="s">
        <v>259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</row>
    <row r="5" spans="1:25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0.25">
      <c r="A6" s="33" t="s">
        <v>371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1"/>
    </row>
    <row r="8" spans="1:25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10" spans="1:25">
      <c r="A10" s="328" t="s">
        <v>297</v>
      </c>
      <c r="B10" s="322"/>
      <c r="C10" s="342"/>
      <c r="D10" s="342"/>
      <c r="E10" s="342"/>
      <c r="F10" s="342"/>
      <c r="G10" s="322"/>
      <c r="H10" s="342"/>
      <c r="I10" s="342"/>
      <c r="J10" s="342"/>
      <c r="K10" s="342"/>
      <c r="L10" s="342"/>
      <c r="M10" s="32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</row>
    <row r="11" spans="1:25">
      <c r="A11" s="60" t="s">
        <v>364</v>
      </c>
      <c r="B11" s="159">
        <v>455</v>
      </c>
      <c r="C11" s="165">
        <v>160</v>
      </c>
      <c r="D11" s="165">
        <v>161</v>
      </c>
      <c r="E11" s="165">
        <v>159</v>
      </c>
      <c r="F11" s="61">
        <v>173</v>
      </c>
      <c r="G11" s="159">
        <v>653</v>
      </c>
      <c r="H11" s="165">
        <v>147</v>
      </c>
      <c r="I11" s="165">
        <v>148</v>
      </c>
      <c r="J11" s="165">
        <v>173</v>
      </c>
      <c r="K11" s="312">
        <v>468</v>
      </c>
      <c r="L11" s="61">
        <v>66</v>
      </c>
      <c r="M11" s="159">
        <v>534</v>
      </c>
      <c r="N11" s="165">
        <v>137</v>
      </c>
      <c r="O11" s="165">
        <v>143</v>
      </c>
      <c r="P11" s="165">
        <v>120</v>
      </c>
      <c r="Q11" s="312">
        <v>400</v>
      </c>
      <c r="R11" s="61">
        <v>115</v>
      </c>
      <c r="S11" s="159">
        <v>515</v>
      </c>
      <c r="T11" s="165">
        <v>139</v>
      </c>
      <c r="U11" s="165">
        <v>159</v>
      </c>
      <c r="V11" s="165">
        <v>166</v>
      </c>
      <c r="W11" s="312">
        <v>464</v>
      </c>
      <c r="X11" s="61">
        <v>155</v>
      </c>
      <c r="Y11" s="159">
        <v>619</v>
      </c>
    </row>
    <row r="12" spans="1:25">
      <c r="A12" s="207" t="s">
        <v>206</v>
      </c>
      <c r="B12" s="159">
        <v>9</v>
      </c>
      <c r="C12" s="66">
        <v>0</v>
      </c>
      <c r="D12" s="165">
        <v>1</v>
      </c>
      <c r="E12" s="66">
        <v>7</v>
      </c>
      <c r="F12" s="165">
        <v>1</v>
      </c>
      <c r="G12" s="159">
        <v>9</v>
      </c>
      <c r="H12" s="66">
        <v>0</v>
      </c>
      <c r="I12" s="165">
        <v>3</v>
      </c>
      <c r="J12" s="66">
        <v>2</v>
      </c>
      <c r="K12" s="312">
        <v>5</v>
      </c>
      <c r="L12" s="165">
        <v>77</v>
      </c>
      <c r="M12" s="159">
        <v>82</v>
      </c>
      <c r="N12" s="66">
        <v>1</v>
      </c>
      <c r="O12" s="165">
        <v>-4</v>
      </c>
      <c r="P12" s="66">
        <v>0</v>
      </c>
      <c r="Q12" s="312">
        <v>-3</v>
      </c>
      <c r="R12" s="165">
        <v>21</v>
      </c>
      <c r="S12" s="159">
        <v>18</v>
      </c>
      <c r="T12" s="66">
        <v>0</v>
      </c>
      <c r="U12" s="165">
        <v>-3</v>
      </c>
      <c r="V12" s="66">
        <v>0</v>
      </c>
      <c r="W12" s="312">
        <v>-3</v>
      </c>
      <c r="X12" s="165">
        <v>12</v>
      </c>
      <c r="Y12" s="159">
        <v>9</v>
      </c>
    </row>
    <row r="13" spans="1:25">
      <c r="A13" s="207" t="s">
        <v>336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315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315">
        <v>0</v>
      </c>
      <c r="R13" s="66">
        <v>0</v>
      </c>
      <c r="S13" s="55">
        <v>0</v>
      </c>
      <c r="T13" s="66">
        <v>1</v>
      </c>
      <c r="U13" s="66">
        <v>1</v>
      </c>
      <c r="V13" s="66">
        <v>1</v>
      </c>
      <c r="W13" s="315">
        <v>3</v>
      </c>
      <c r="X13" s="66">
        <v>1</v>
      </c>
      <c r="Y13" s="159">
        <v>4</v>
      </c>
    </row>
    <row r="14" spans="1:25">
      <c r="A14" s="349" t="s">
        <v>280</v>
      </c>
      <c r="B14" s="328">
        <v>464</v>
      </c>
      <c r="C14" s="328">
        <v>160</v>
      </c>
      <c r="D14" s="328">
        <v>162</v>
      </c>
      <c r="E14" s="328">
        <v>166</v>
      </c>
      <c r="F14" s="328">
        <v>174</v>
      </c>
      <c r="G14" s="328">
        <v>662</v>
      </c>
      <c r="H14" s="328">
        <v>147</v>
      </c>
      <c r="I14" s="328">
        <v>151</v>
      </c>
      <c r="J14" s="328">
        <v>175</v>
      </c>
      <c r="K14" s="328">
        <v>473</v>
      </c>
      <c r="L14" s="328">
        <v>143</v>
      </c>
      <c r="M14" s="328">
        <v>616</v>
      </c>
      <c r="N14" s="328">
        <v>138</v>
      </c>
      <c r="O14" s="328">
        <v>139</v>
      </c>
      <c r="P14" s="328">
        <v>120</v>
      </c>
      <c r="Q14" s="328">
        <v>397</v>
      </c>
      <c r="R14" s="328">
        <v>136</v>
      </c>
      <c r="S14" s="328">
        <v>533</v>
      </c>
      <c r="T14" s="328">
        <v>140</v>
      </c>
      <c r="U14" s="328">
        <v>157</v>
      </c>
      <c r="V14" s="328">
        <v>167</v>
      </c>
      <c r="W14" s="328">
        <v>464</v>
      </c>
      <c r="X14" s="328">
        <v>168</v>
      </c>
      <c r="Y14" s="328">
        <v>632</v>
      </c>
    </row>
    <row r="15" spans="1:25">
      <c r="A15" s="62" t="s">
        <v>7</v>
      </c>
      <c r="B15" s="159"/>
      <c r="C15" s="63"/>
      <c r="D15" s="63">
        <v>1.2499999999999956E-2</v>
      </c>
      <c r="E15" s="63">
        <v>2.4691358024691468E-2</v>
      </c>
      <c r="F15" s="63">
        <v>4.8192771084337283E-2</v>
      </c>
      <c r="G15" s="159"/>
      <c r="H15" s="63">
        <v>-0.15517241379310343</v>
      </c>
      <c r="I15" s="63">
        <v>2.7210884353741527E-2</v>
      </c>
      <c r="J15" s="63">
        <v>0.1589403973509933</v>
      </c>
      <c r="K15" s="310"/>
      <c r="L15" s="63">
        <v>-0.18285714285714283</v>
      </c>
      <c r="M15" s="159"/>
      <c r="N15" s="63">
        <v>-3.4965034965035002E-2</v>
      </c>
      <c r="O15" s="63">
        <v>7.2463768115942351E-3</v>
      </c>
      <c r="P15" s="63">
        <v>-0.13669064748201443</v>
      </c>
      <c r="Q15" s="310"/>
      <c r="R15" s="63">
        <v>0.1333333333333333</v>
      </c>
      <c r="S15" s="159"/>
      <c r="T15" s="63">
        <v>2.9411764705882248E-2</v>
      </c>
      <c r="U15" s="63">
        <v>0.12142857142857144</v>
      </c>
      <c r="V15" s="63">
        <v>6.3694267515923553E-2</v>
      </c>
      <c r="W15" s="310"/>
      <c r="X15" s="63">
        <v>5.9880239520957446E-3</v>
      </c>
      <c r="Y15" s="159"/>
    </row>
    <row r="16" spans="1:25">
      <c r="A16" s="62" t="s">
        <v>8</v>
      </c>
      <c r="B16" s="159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311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311">
        <v>-0.16067653276955607</v>
      </c>
      <c r="R16" s="64">
        <v>-4.8951048951048959E-2</v>
      </c>
      <c r="S16" s="23">
        <v>-0.13474025974025972</v>
      </c>
      <c r="T16" s="64">
        <v>1.449275362318847E-2</v>
      </c>
      <c r="U16" s="64">
        <v>0.12949640287769792</v>
      </c>
      <c r="V16" s="64">
        <v>0.39166666666666661</v>
      </c>
      <c r="W16" s="311">
        <v>0.16876574307304781</v>
      </c>
      <c r="X16" s="64">
        <v>0.23529411764705888</v>
      </c>
      <c r="Y16" s="23">
        <v>0.18574108818011248</v>
      </c>
    </row>
    <row r="17" spans="1:25">
      <c r="A17" s="207" t="s">
        <v>359</v>
      </c>
      <c r="B17" s="282">
        <v>0.18224666142969365</v>
      </c>
      <c r="C17" s="283">
        <v>0.25848142164781907</v>
      </c>
      <c r="D17" s="283">
        <v>0.26910299003322258</v>
      </c>
      <c r="E17" s="283">
        <v>0.27483443708609273</v>
      </c>
      <c r="F17" s="283">
        <v>0.28155339805825241</v>
      </c>
      <c r="G17" s="282">
        <v>0.27097830536225953</v>
      </c>
      <c r="H17" s="283">
        <v>0.25432525951557095</v>
      </c>
      <c r="I17" s="283">
        <v>0.26491228070175438</v>
      </c>
      <c r="J17" s="283">
        <v>0.28594771241830064</v>
      </c>
      <c r="K17" s="345">
        <v>0.26874999999999999</v>
      </c>
      <c r="L17" s="283">
        <v>0.23754152823920266</v>
      </c>
      <c r="M17" s="282">
        <v>0.26079593564775616</v>
      </c>
      <c r="N17" s="283">
        <v>0.24083769633507854</v>
      </c>
      <c r="O17" s="283">
        <v>0.25981308411214954</v>
      </c>
      <c r="P17" s="283">
        <v>0.22018348623853212</v>
      </c>
      <c r="Q17" s="345">
        <v>0.24016938898971568</v>
      </c>
      <c r="R17" s="283">
        <v>0.25515947467166977</v>
      </c>
      <c r="S17" s="282">
        <v>0.24382433668801465</v>
      </c>
      <c r="T17" s="283">
        <v>0.24561403508771928</v>
      </c>
      <c r="U17" s="283">
        <v>0.27256944444444442</v>
      </c>
      <c r="V17" s="283">
        <v>0.30868761552680224</v>
      </c>
      <c r="W17" s="345">
        <v>0.27504445761707175</v>
      </c>
      <c r="X17" s="283">
        <v>0.27906976744186046</v>
      </c>
      <c r="Y17" s="282">
        <v>0.2761031017911752</v>
      </c>
    </row>
    <row r="18" spans="1:25" ht="3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>
      <c r="A19" s="60" t="s">
        <v>365</v>
      </c>
      <c r="B19" s="159">
        <v>291</v>
      </c>
      <c r="C19" s="165">
        <v>69</v>
      </c>
      <c r="D19" s="165">
        <v>67</v>
      </c>
      <c r="E19" s="165">
        <v>69</v>
      </c>
      <c r="F19" s="61">
        <v>66</v>
      </c>
      <c r="G19" s="159">
        <v>271</v>
      </c>
      <c r="H19" s="165">
        <v>72</v>
      </c>
      <c r="I19" s="165">
        <v>53</v>
      </c>
      <c r="J19" s="165">
        <v>7</v>
      </c>
      <c r="K19" s="312">
        <v>132</v>
      </c>
      <c r="L19" s="165">
        <v>-138</v>
      </c>
      <c r="M19" s="159">
        <v>-6</v>
      </c>
      <c r="N19" s="165">
        <v>72</v>
      </c>
      <c r="O19" s="165">
        <v>65</v>
      </c>
      <c r="P19" s="165">
        <v>-233</v>
      </c>
      <c r="Q19" s="312">
        <v>-96</v>
      </c>
      <c r="R19" s="61">
        <v>4</v>
      </c>
      <c r="S19" s="159">
        <v>-92</v>
      </c>
      <c r="T19" s="165">
        <v>41</v>
      </c>
      <c r="U19" s="165">
        <v>62</v>
      </c>
      <c r="V19" s="165">
        <v>51</v>
      </c>
      <c r="W19" s="312">
        <v>154</v>
      </c>
      <c r="X19" s="61">
        <v>41</v>
      </c>
      <c r="Y19" s="159">
        <v>195</v>
      </c>
    </row>
    <row r="20" spans="1:25">
      <c r="A20" s="207" t="s">
        <v>206</v>
      </c>
      <c r="B20" s="159">
        <v>3</v>
      </c>
      <c r="C20" s="66">
        <v>2</v>
      </c>
      <c r="D20" s="165">
        <v>-1</v>
      </c>
      <c r="E20" s="165">
        <v>2</v>
      </c>
      <c r="F20" s="165">
        <v>5</v>
      </c>
      <c r="G20" s="159">
        <v>8</v>
      </c>
      <c r="H20" s="66">
        <v>0</v>
      </c>
      <c r="I20" s="66">
        <v>16</v>
      </c>
      <c r="J20" s="165">
        <v>45</v>
      </c>
      <c r="K20" s="312">
        <v>61</v>
      </c>
      <c r="L20" s="165">
        <v>196</v>
      </c>
      <c r="M20" s="159">
        <v>257</v>
      </c>
      <c r="N20" s="66">
        <v>0</v>
      </c>
      <c r="O20" s="66">
        <v>0</v>
      </c>
      <c r="P20" s="165">
        <v>282</v>
      </c>
      <c r="Q20" s="312">
        <v>282</v>
      </c>
      <c r="R20" s="165">
        <v>31</v>
      </c>
      <c r="S20" s="159">
        <v>313</v>
      </c>
      <c r="T20" s="66">
        <v>0</v>
      </c>
      <c r="U20" s="165">
        <v>-1</v>
      </c>
      <c r="V20" s="165">
        <v>-2</v>
      </c>
      <c r="W20" s="312">
        <v>-3</v>
      </c>
      <c r="X20" s="165">
        <v>9</v>
      </c>
      <c r="Y20" s="159">
        <v>6</v>
      </c>
    </row>
    <row r="21" spans="1:25">
      <c r="A21" s="207" t="s">
        <v>336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315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315">
        <v>0</v>
      </c>
      <c r="R21" s="66">
        <v>0</v>
      </c>
      <c r="S21" s="55">
        <v>0</v>
      </c>
      <c r="T21" s="66">
        <v>1</v>
      </c>
      <c r="U21" s="66">
        <v>1</v>
      </c>
      <c r="V21" s="66">
        <v>1</v>
      </c>
      <c r="W21" s="315">
        <v>3</v>
      </c>
      <c r="X21" s="165">
        <v>-1</v>
      </c>
      <c r="Y21" s="159">
        <v>2</v>
      </c>
    </row>
    <row r="22" spans="1:25">
      <c r="A22" s="350" t="s">
        <v>360</v>
      </c>
      <c r="B22" s="331">
        <v>294</v>
      </c>
      <c r="C22" s="331">
        <v>71</v>
      </c>
      <c r="D22" s="331">
        <v>66</v>
      </c>
      <c r="E22" s="331">
        <v>71</v>
      </c>
      <c r="F22" s="331">
        <v>71</v>
      </c>
      <c r="G22" s="331">
        <v>279</v>
      </c>
      <c r="H22" s="331">
        <v>72</v>
      </c>
      <c r="I22" s="331">
        <v>69</v>
      </c>
      <c r="J22" s="331">
        <v>52</v>
      </c>
      <c r="K22" s="328">
        <v>193</v>
      </c>
      <c r="L22" s="331">
        <v>58</v>
      </c>
      <c r="M22" s="331">
        <v>251</v>
      </c>
      <c r="N22" s="331">
        <v>72</v>
      </c>
      <c r="O22" s="331">
        <v>65</v>
      </c>
      <c r="P22" s="331">
        <v>49</v>
      </c>
      <c r="Q22" s="328">
        <v>186</v>
      </c>
      <c r="R22" s="331">
        <v>35</v>
      </c>
      <c r="S22" s="331">
        <v>221</v>
      </c>
      <c r="T22" s="331">
        <v>42</v>
      </c>
      <c r="U22" s="331">
        <v>62</v>
      </c>
      <c r="V22" s="331">
        <v>50</v>
      </c>
      <c r="W22" s="328">
        <v>154</v>
      </c>
      <c r="X22" s="331">
        <v>49</v>
      </c>
      <c r="Y22" s="331">
        <v>203</v>
      </c>
    </row>
    <row r="23" spans="1:25">
      <c r="A23" s="62" t="s">
        <v>7</v>
      </c>
      <c r="B23" s="159"/>
      <c r="C23" s="63"/>
      <c r="D23" s="63">
        <v>-7.0422535211267623E-2</v>
      </c>
      <c r="E23" s="63">
        <v>7.575757575757569E-2</v>
      </c>
      <c r="F23" s="63">
        <v>0</v>
      </c>
      <c r="G23" s="159"/>
      <c r="H23" s="63">
        <v>1.4084507042253502E-2</v>
      </c>
      <c r="I23" s="63">
        <v>-4.166666666666663E-2</v>
      </c>
      <c r="J23" s="63">
        <v>-0.24637681159420288</v>
      </c>
      <c r="K23" s="310"/>
      <c r="L23" s="63">
        <v>0.11538461538461542</v>
      </c>
      <c r="M23" s="159"/>
      <c r="N23" s="63">
        <v>0.24137931034482762</v>
      </c>
      <c r="O23" s="63">
        <v>-9.722222222222221E-2</v>
      </c>
      <c r="P23" s="63">
        <v>-0.24615384615384617</v>
      </c>
      <c r="Q23" s="310"/>
      <c r="R23" s="63">
        <v>-0.2857142857142857</v>
      </c>
      <c r="S23" s="159"/>
      <c r="T23" s="63">
        <v>0.19999999999999996</v>
      </c>
      <c r="U23" s="63">
        <v>0.47619047619047628</v>
      </c>
      <c r="V23" s="63">
        <v>-0.19354838709677424</v>
      </c>
      <c r="W23" s="310"/>
      <c r="X23" s="63">
        <v>-2.0000000000000018E-2</v>
      </c>
      <c r="Y23" s="159"/>
    </row>
    <row r="24" spans="1:25">
      <c r="A24" s="62" t="s">
        <v>8</v>
      </c>
      <c r="B24" s="159"/>
      <c r="C24" s="64"/>
      <c r="D24" s="64"/>
      <c r="E24" s="64"/>
      <c r="F24" s="64"/>
      <c r="G24" s="23">
        <v>-5.1020408163265252E-2</v>
      </c>
      <c r="H24" s="64">
        <v>1.4084507042253502E-2</v>
      </c>
      <c r="I24" s="64">
        <v>4.5454545454545414E-2</v>
      </c>
      <c r="J24" s="64">
        <v>-0.26760563380281688</v>
      </c>
      <c r="K24" s="311"/>
      <c r="L24" s="64">
        <v>-0.18309859154929575</v>
      </c>
      <c r="M24" s="23">
        <v>-0.10035842293906805</v>
      </c>
      <c r="N24" s="64">
        <v>0</v>
      </c>
      <c r="O24" s="64">
        <v>-5.7971014492753659E-2</v>
      </c>
      <c r="P24" s="64">
        <v>-5.7692307692307709E-2</v>
      </c>
      <c r="Q24" s="311">
        <v>-3.6269430051813489E-2</v>
      </c>
      <c r="R24" s="64">
        <v>-0.39655172413793105</v>
      </c>
      <c r="S24" s="23">
        <v>-0.11952191235059761</v>
      </c>
      <c r="T24" s="64">
        <v>-0.41666666666666663</v>
      </c>
      <c r="U24" s="64">
        <v>-4.6153846153846101E-2</v>
      </c>
      <c r="V24" s="64">
        <v>2.0408163265306145E-2</v>
      </c>
      <c r="W24" s="311">
        <v>-0.17204301075268813</v>
      </c>
      <c r="X24" s="64">
        <v>0.39999999999999991</v>
      </c>
      <c r="Y24" s="23">
        <v>-8.1447963800905021E-2</v>
      </c>
    </row>
    <row r="25" spans="1:25">
      <c r="A25" s="207" t="s">
        <v>361</v>
      </c>
      <c r="B25" s="282">
        <v>0.19128171763175017</v>
      </c>
      <c r="C25" s="283">
        <v>0.20170454545454544</v>
      </c>
      <c r="D25" s="283">
        <v>0.19642857142857142</v>
      </c>
      <c r="E25" s="283">
        <v>0.21321321321321321</v>
      </c>
      <c r="F25" s="283">
        <v>0.1918918918918919</v>
      </c>
      <c r="G25" s="282">
        <v>0.20057512580877068</v>
      </c>
      <c r="H25" s="283">
        <v>0.21114369501466276</v>
      </c>
      <c r="I25" s="283">
        <v>0.20353982300884957</v>
      </c>
      <c r="J25" s="283">
        <v>0.1580547112462006</v>
      </c>
      <c r="K25" s="345">
        <v>0.19127849355797819</v>
      </c>
      <c r="L25" s="283">
        <v>0.17575757575757575</v>
      </c>
      <c r="M25" s="282">
        <v>0.18745332337565349</v>
      </c>
      <c r="N25" s="283">
        <v>0.22712933753943218</v>
      </c>
      <c r="O25" s="283">
        <v>0.2070063694267516</v>
      </c>
      <c r="P25" s="283">
        <v>0.15555555555555556</v>
      </c>
      <c r="Q25" s="345">
        <v>0.19661733615221988</v>
      </c>
      <c r="R25" s="283">
        <v>0.1076923076923077</v>
      </c>
      <c r="S25" s="282">
        <v>0.17387883556254918</v>
      </c>
      <c r="T25" s="283">
        <v>0.13461538461538461</v>
      </c>
      <c r="U25" s="283">
        <v>0.2</v>
      </c>
      <c r="V25" s="283">
        <v>0.17421602787456447</v>
      </c>
      <c r="W25" s="345">
        <v>0.1694169416941694</v>
      </c>
      <c r="X25" s="283">
        <v>0.14939024390243902</v>
      </c>
      <c r="Y25" s="282">
        <v>0.16410670978173</v>
      </c>
    </row>
    <row r="26" spans="1:25" ht="3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>
      <c r="A27" s="60" t="s">
        <v>373</v>
      </c>
      <c r="B27" s="159">
        <v>448</v>
      </c>
      <c r="C27" s="165">
        <v>78</v>
      </c>
      <c r="D27" s="165">
        <v>62</v>
      </c>
      <c r="E27" s="165">
        <v>82</v>
      </c>
      <c r="F27" s="61">
        <v>45</v>
      </c>
      <c r="G27" s="159">
        <v>267</v>
      </c>
      <c r="H27" s="165">
        <v>19</v>
      </c>
      <c r="I27" s="165">
        <v>73</v>
      </c>
      <c r="J27" s="165">
        <v>64</v>
      </c>
      <c r="K27" s="312">
        <v>156</v>
      </c>
      <c r="L27" s="61">
        <v>43</v>
      </c>
      <c r="M27" s="159">
        <v>199</v>
      </c>
      <c r="N27" s="165">
        <v>65</v>
      </c>
      <c r="O27" s="165">
        <v>72</v>
      </c>
      <c r="P27" s="165">
        <v>60</v>
      </c>
      <c r="Q27" s="312">
        <v>197</v>
      </c>
      <c r="R27" s="61">
        <v>71</v>
      </c>
      <c r="S27" s="159">
        <v>268</v>
      </c>
      <c r="T27" s="165">
        <v>57</v>
      </c>
      <c r="U27" s="165">
        <v>72</v>
      </c>
      <c r="V27" s="165">
        <v>66</v>
      </c>
      <c r="W27" s="312">
        <v>195</v>
      </c>
      <c r="X27" s="61">
        <v>56</v>
      </c>
      <c r="Y27" s="159">
        <v>251</v>
      </c>
    </row>
    <row r="28" spans="1:25">
      <c r="A28" s="207" t="s">
        <v>206</v>
      </c>
      <c r="B28" s="55">
        <v>0</v>
      </c>
      <c r="C28" s="165">
        <v>2</v>
      </c>
      <c r="D28" s="165">
        <v>7</v>
      </c>
      <c r="E28" s="165">
        <v>0</v>
      </c>
      <c r="F28" s="165">
        <v>8</v>
      </c>
      <c r="G28" s="159">
        <v>17</v>
      </c>
      <c r="H28" s="165">
        <v>43</v>
      </c>
      <c r="I28" s="165">
        <v>-9</v>
      </c>
      <c r="J28" s="165">
        <v>1</v>
      </c>
      <c r="K28" s="312">
        <v>35</v>
      </c>
      <c r="L28" s="165">
        <v>7</v>
      </c>
      <c r="M28" s="159">
        <v>42</v>
      </c>
      <c r="N28" s="165">
        <v>0</v>
      </c>
      <c r="O28" s="165">
        <v>-12</v>
      </c>
      <c r="P28" s="165">
        <v>1</v>
      </c>
      <c r="Q28" s="312">
        <v>-11</v>
      </c>
      <c r="R28" s="165">
        <v>-3</v>
      </c>
      <c r="S28" s="159">
        <v>-14</v>
      </c>
      <c r="T28" s="165">
        <v>-2</v>
      </c>
      <c r="U28" s="66">
        <v>0</v>
      </c>
      <c r="V28" s="165">
        <v>1</v>
      </c>
      <c r="W28" s="312">
        <v>-1</v>
      </c>
      <c r="X28" s="165">
        <v>13</v>
      </c>
      <c r="Y28" s="159">
        <v>12</v>
      </c>
    </row>
    <row r="29" spans="1:25">
      <c r="A29" s="286" t="s">
        <v>374</v>
      </c>
      <c r="B29" s="55">
        <v>0</v>
      </c>
      <c r="C29" s="66">
        <v>0</v>
      </c>
      <c r="D29" s="66">
        <v>0</v>
      </c>
      <c r="E29" s="66">
        <v>0</v>
      </c>
      <c r="F29" s="66">
        <v>0</v>
      </c>
      <c r="G29" s="55">
        <v>0</v>
      </c>
      <c r="H29" s="66">
        <v>0</v>
      </c>
      <c r="I29" s="66">
        <v>0</v>
      </c>
      <c r="J29" s="66">
        <v>0</v>
      </c>
      <c r="K29" s="315">
        <v>0</v>
      </c>
      <c r="L29" s="66">
        <v>0</v>
      </c>
      <c r="M29" s="55">
        <v>0</v>
      </c>
      <c r="N29" s="66">
        <v>0</v>
      </c>
      <c r="O29" s="66">
        <v>0</v>
      </c>
      <c r="P29" s="66">
        <v>0</v>
      </c>
      <c r="Q29" s="315">
        <v>0</v>
      </c>
      <c r="R29" s="66">
        <v>0</v>
      </c>
      <c r="S29" s="55">
        <v>0</v>
      </c>
      <c r="T29" s="66">
        <v>1</v>
      </c>
      <c r="U29" s="66">
        <v>1</v>
      </c>
      <c r="V29" s="165">
        <v>1</v>
      </c>
      <c r="W29" s="315">
        <v>3</v>
      </c>
      <c r="X29" s="66">
        <v>0</v>
      </c>
      <c r="Y29" s="159">
        <v>3</v>
      </c>
    </row>
    <row r="30" spans="1:25">
      <c r="A30" s="351" t="s">
        <v>362</v>
      </c>
      <c r="B30" s="331">
        <v>448</v>
      </c>
      <c r="C30" s="331">
        <v>80</v>
      </c>
      <c r="D30" s="331">
        <v>69</v>
      </c>
      <c r="E30" s="331">
        <v>82</v>
      </c>
      <c r="F30" s="331">
        <v>53</v>
      </c>
      <c r="G30" s="331">
        <v>284</v>
      </c>
      <c r="H30" s="331">
        <v>62</v>
      </c>
      <c r="I30" s="331">
        <v>64</v>
      </c>
      <c r="J30" s="331">
        <v>65</v>
      </c>
      <c r="K30" s="328">
        <v>191</v>
      </c>
      <c r="L30" s="331">
        <v>50</v>
      </c>
      <c r="M30" s="331">
        <v>241</v>
      </c>
      <c r="N30" s="331">
        <v>65</v>
      </c>
      <c r="O30" s="331">
        <v>60</v>
      </c>
      <c r="P30" s="331">
        <v>61</v>
      </c>
      <c r="Q30" s="328">
        <v>186</v>
      </c>
      <c r="R30" s="331">
        <v>68</v>
      </c>
      <c r="S30" s="331">
        <v>254</v>
      </c>
      <c r="T30" s="331">
        <v>56</v>
      </c>
      <c r="U30" s="331">
        <v>73</v>
      </c>
      <c r="V30" s="331">
        <v>68</v>
      </c>
      <c r="W30" s="328">
        <v>197</v>
      </c>
      <c r="X30" s="331">
        <v>69</v>
      </c>
      <c r="Y30" s="331">
        <v>266</v>
      </c>
    </row>
    <row r="31" spans="1:25">
      <c r="A31" s="62" t="s">
        <v>7</v>
      </c>
      <c r="B31" s="159"/>
      <c r="C31" s="63"/>
      <c r="D31" s="63">
        <v>-0.13749999999999996</v>
      </c>
      <c r="E31" s="63">
        <v>0.18840579710144922</v>
      </c>
      <c r="F31" s="63">
        <v>-0.35365853658536583</v>
      </c>
      <c r="G31" s="159"/>
      <c r="H31" s="63">
        <v>0.16981132075471694</v>
      </c>
      <c r="I31" s="63">
        <v>3.2258064516129004E-2</v>
      </c>
      <c r="J31" s="63">
        <v>1.5625E-2</v>
      </c>
      <c r="K31" s="310"/>
      <c r="L31" s="63">
        <v>-0.23076923076923073</v>
      </c>
      <c r="M31" s="159"/>
      <c r="N31" s="63">
        <v>0.30000000000000004</v>
      </c>
      <c r="O31" s="63">
        <v>-7.6923076923076872E-2</v>
      </c>
      <c r="P31" s="63">
        <v>1.6666666666666607E-2</v>
      </c>
      <c r="Q31" s="310"/>
      <c r="R31" s="63">
        <v>0.11475409836065564</v>
      </c>
      <c r="S31" s="159"/>
      <c r="T31" s="63">
        <v>-0.17647058823529416</v>
      </c>
      <c r="U31" s="63">
        <v>0.3035714285714286</v>
      </c>
      <c r="V31" s="63">
        <v>-6.8493150684931559E-2</v>
      </c>
      <c r="W31" s="310"/>
      <c r="X31" s="63">
        <v>1.4705882352941124E-2</v>
      </c>
      <c r="Y31" s="159"/>
    </row>
    <row r="32" spans="1:25">
      <c r="A32" s="62" t="s">
        <v>8</v>
      </c>
      <c r="B32" s="159"/>
      <c r="C32" s="64"/>
      <c r="D32" s="64"/>
      <c r="E32" s="64"/>
      <c r="F32" s="64"/>
      <c r="G32" s="23">
        <v>-0.3660714285714286</v>
      </c>
      <c r="H32" s="64">
        <v>-0.22499999999999998</v>
      </c>
      <c r="I32" s="64">
        <v>-7.2463768115942018E-2</v>
      </c>
      <c r="J32" s="64">
        <v>-0.20731707317073167</v>
      </c>
      <c r="K32" s="311"/>
      <c r="L32" s="64">
        <v>-5.6603773584905648E-2</v>
      </c>
      <c r="M32" s="23">
        <v>-0.15140845070422537</v>
      </c>
      <c r="N32" s="64">
        <v>4.8387096774193505E-2</v>
      </c>
      <c r="O32" s="64">
        <v>-6.25E-2</v>
      </c>
      <c r="P32" s="64">
        <v>-6.1538461538461542E-2</v>
      </c>
      <c r="Q32" s="311">
        <v>-2.6178010471204161E-2</v>
      </c>
      <c r="R32" s="64">
        <v>0.3600000000000001</v>
      </c>
      <c r="S32" s="23">
        <v>5.3941908713692976E-2</v>
      </c>
      <c r="T32" s="64">
        <v>-0.13846153846153841</v>
      </c>
      <c r="U32" s="64">
        <v>0.21666666666666656</v>
      </c>
      <c r="V32" s="64">
        <v>0.11475409836065564</v>
      </c>
      <c r="W32" s="311">
        <v>5.9139784946236507E-2</v>
      </c>
      <c r="X32" s="64">
        <v>1.4705882352941124E-2</v>
      </c>
      <c r="Y32" s="23">
        <v>4.7244094488188892E-2</v>
      </c>
    </row>
    <row r="33" spans="1:25">
      <c r="A33" s="207" t="s">
        <v>363</v>
      </c>
      <c r="B33" s="282">
        <v>0.27151515151515154</v>
      </c>
      <c r="C33" s="283">
        <v>0.21333333333333335</v>
      </c>
      <c r="D33" s="283">
        <v>0.184</v>
      </c>
      <c r="E33" s="283">
        <v>0.22343324250681199</v>
      </c>
      <c r="F33" s="283">
        <v>0.14887640449438203</v>
      </c>
      <c r="G33" s="282">
        <v>0.19280380176510523</v>
      </c>
      <c r="H33" s="283">
        <v>0.18075801749271136</v>
      </c>
      <c r="I33" s="283">
        <v>0.18991097922848665</v>
      </c>
      <c r="J33" s="283">
        <v>0.19461077844311378</v>
      </c>
      <c r="K33" s="345">
        <v>0.18836291913214989</v>
      </c>
      <c r="L33" s="283">
        <v>0.15105740181268881</v>
      </c>
      <c r="M33" s="282">
        <v>0.17918215613382898</v>
      </c>
      <c r="N33" s="283">
        <v>0.19230769230769232</v>
      </c>
      <c r="O33" s="283">
        <v>0.18808777429467086</v>
      </c>
      <c r="P33" s="283">
        <v>0.19488817891373802</v>
      </c>
      <c r="Q33" s="345">
        <v>0.19175257731958764</v>
      </c>
      <c r="R33" s="283">
        <v>0.21451104100946372</v>
      </c>
      <c r="S33" s="282">
        <v>0.19735819735819735</v>
      </c>
      <c r="T33" s="283">
        <v>0.17777777777777778</v>
      </c>
      <c r="U33" s="283">
        <v>0.23174603174603176</v>
      </c>
      <c r="V33" s="283">
        <v>0.21383647798742139</v>
      </c>
      <c r="W33" s="345">
        <v>0.20780590717299577</v>
      </c>
      <c r="X33" s="283">
        <v>0.21428571428571427</v>
      </c>
      <c r="Y33" s="282">
        <v>0.20944881889763781</v>
      </c>
    </row>
    <row r="34" spans="1:25">
      <c r="A34" s="207"/>
      <c r="B34" s="159"/>
      <c r="C34" s="263"/>
      <c r="D34" s="263"/>
      <c r="E34" s="263"/>
      <c r="F34" s="263"/>
      <c r="G34" s="159"/>
      <c r="H34" s="263"/>
      <c r="I34" s="263"/>
      <c r="J34" s="263"/>
      <c r="K34" s="337"/>
      <c r="L34" s="263"/>
      <c r="M34" s="159"/>
      <c r="N34" s="263"/>
      <c r="O34" s="263"/>
      <c r="P34" s="263"/>
      <c r="Q34" s="337"/>
      <c r="R34" s="263"/>
      <c r="S34" s="159"/>
      <c r="T34" s="263"/>
      <c r="U34" s="263"/>
      <c r="V34" s="263"/>
      <c r="W34" s="337"/>
      <c r="X34" s="263"/>
      <c r="Y34" s="159"/>
    </row>
    <row r="35" spans="1:25" ht="5.2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>
      <c r="A36" s="328" t="s">
        <v>298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</row>
    <row r="37" spans="1:25">
      <c r="B37" s="159"/>
      <c r="G37" s="159"/>
      <c r="K37" s="334"/>
      <c r="M37" s="159"/>
      <c r="Q37" s="334"/>
      <c r="S37" s="159"/>
      <c r="W37" s="334"/>
      <c r="Y37" s="159"/>
    </row>
    <row r="38" spans="1:25">
      <c r="A38" s="60" t="s">
        <v>367</v>
      </c>
      <c r="B38" s="159">
        <v>95</v>
      </c>
      <c r="C38" s="165">
        <v>9</v>
      </c>
      <c r="D38" s="165">
        <v>7</v>
      </c>
      <c r="E38" s="165">
        <v>6</v>
      </c>
      <c r="F38" s="61">
        <v>2</v>
      </c>
      <c r="G38" s="159">
        <v>24</v>
      </c>
      <c r="H38" s="165">
        <v>2</v>
      </c>
      <c r="I38" s="165">
        <v>2</v>
      </c>
      <c r="J38" s="165">
        <v>18</v>
      </c>
      <c r="K38" s="312">
        <v>22</v>
      </c>
      <c r="L38" s="61">
        <v>-69</v>
      </c>
      <c r="M38" s="159">
        <v>-47</v>
      </c>
      <c r="N38" s="165">
        <v>-2</v>
      </c>
      <c r="O38" s="165">
        <v>1</v>
      </c>
      <c r="P38" s="165">
        <v>-12</v>
      </c>
      <c r="Q38" s="312">
        <v>-13</v>
      </c>
      <c r="R38" s="165">
        <v>-12</v>
      </c>
      <c r="S38" s="159">
        <v>-25</v>
      </c>
      <c r="T38" s="165">
        <v>8</v>
      </c>
      <c r="U38" s="165">
        <v>20</v>
      </c>
      <c r="V38" s="165">
        <v>23</v>
      </c>
      <c r="W38" s="312">
        <v>51</v>
      </c>
      <c r="X38" s="165">
        <v>13</v>
      </c>
      <c r="Y38" s="159">
        <v>64</v>
      </c>
    </row>
    <row r="39" spans="1:25">
      <c r="A39" s="207" t="s">
        <v>206</v>
      </c>
      <c r="B39" s="159">
        <v>6.93</v>
      </c>
      <c r="C39" s="66">
        <v>0</v>
      </c>
      <c r="D39" s="165">
        <v>0.77</v>
      </c>
      <c r="E39" s="66">
        <v>5.3900000000000006</v>
      </c>
      <c r="F39" s="165">
        <v>0.76999999999999913</v>
      </c>
      <c r="G39" s="159">
        <v>6.93</v>
      </c>
      <c r="H39" s="66">
        <v>0</v>
      </c>
      <c r="I39" s="165">
        <v>2.31</v>
      </c>
      <c r="J39" s="66">
        <v>1.54</v>
      </c>
      <c r="K39" s="312">
        <v>3.85</v>
      </c>
      <c r="L39" s="165">
        <v>59.29</v>
      </c>
      <c r="M39" s="159">
        <v>63.14</v>
      </c>
      <c r="N39" s="66">
        <v>0.77</v>
      </c>
      <c r="O39" s="165">
        <v>-3.08</v>
      </c>
      <c r="P39" s="66">
        <v>0</v>
      </c>
      <c r="Q39" s="312">
        <v>-2.31</v>
      </c>
      <c r="R39" s="165">
        <v>16.169999999999998</v>
      </c>
      <c r="S39" s="159">
        <v>13.86</v>
      </c>
      <c r="T39" s="66">
        <v>0</v>
      </c>
      <c r="U39" s="165">
        <v>-2.31</v>
      </c>
      <c r="V39" s="66">
        <v>0</v>
      </c>
      <c r="W39" s="312">
        <v>-2.31</v>
      </c>
      <c r="X39" s="165">
        <v>9.24</v>
      </c>
      <c r="Y39" s="159">
        <v>6.93</v>
      </c>
    </row>
    <row r="40" spans="1:25">
      <c r="A40" s="286" t="s">
        <v>374</v>
      </c>
      <c r="B40" s="55">
        <v>0</v>
      </c>
      <c r="C40" s="66">
        <v>0</v>
      </c>
      <c r="D40" s="66">
        <v>0</v>
      </c>
      <c r="E40" s="66">
        <v>0</v>
      </c>
      <c r="F40" s="66">
        <v>0</v>
      </c>
      <c r="G40" s="55">
        <v>0</v>
      </c>
      <c r="H40" s="66">
        <v>0</v>
      </c>
      <c r="I40" s="66">
        <v>0</v>
      </c>
      <c r="J40" s="66">
        <v>0</v>
      </c>
      <c r="K40" s="315">
        <v>0</v>
      </c>
      <c r="L40" s="66">
        <v>0</v>
      </c>
      <c r="M40" s="55">
        <v>0</v>
      </c>
      <c r="N40" s="66">
        <v>0</v>
      </c>
      <c r="O40" s="66">
        <v>0</v>
      </c>
      <c r="P40" s="66">
        <v>0</v>
      </c>
      <c r="Q40" s="315">
        <v>0</v>
      </c>
      <c r="R40" s="66">
        <v>0</v>
      </c>
      <c r="S40" s="55">
        <v>0</v>
      </c>
      <c r="T40" s="66">
        <v>1</v>
      </c>
      <c r="U40" s="66">
        <v>1</v>
      </c>
      <c r="V40" s="66">
        <v>1</v>
      </c>
      <c r="W40" s="315">
        <v>3</v>
      </c>
      <c r="X40" s="66">
        <v>1</v>
      </c>
      <c r="Y40" s="159">
        <v>4</v>
      </c>
    </row>
    <row r="41" spans="1:25">
      <c r="A41" s="349" t="s">
        <v>369</v>
      </c>
      <c r="B41" s="331">
        <v>101.93</v>
      </c>
      <c r="C41" s="331">
        <v>9</v>
      </c>
      <c r="D41" s="331">
        <v>7.77</v>
      </c>
      <c r="E41" s="331">
        <v>11.39</v>
      </c>
      <c r="F41" s="331">
        <v>2.7699999999999991</v>
      </c>
      <c r="G41" s="331">
        <v>30.93</v>
      </c>
      <c r="H41" s="331">
        <v>2</v>
      </c>
      <c r="I41" s="331">
        <v>4.3100000000000005</v>
      </c>
      <c r="J41" s="331">
        <v>19.54</v>
      </c>
      <c r="K41" s="331">
        <v>25.85</v>
      </c>
      <c r="L41" s="331">
        <v>-9.7100000000000009</v>
      </c>
      <c r="M41" s="331">
        <v>16.14</v>
      </c>
      <c r="N41" s="331">
        <v>-1.23</v>
      </c>
      <c r="O41" s="331">
        <v>-2.08</v>
      </c>
      <c r="P41" s="331">
        <v>-12</v>
      </c>
      <c r="Q41" s="331">
        <v>-15.31</v>
      </c>
      <c r="R41" s="331">
        <v>4.1699999999999982</v>
      </c>
      <c r="S41" s="331">
        <v>-11.14</v>
      </c>
      <c r="T41" s="331">
        <v>9</v>
      </c>
      <c r="U41" s="331">
        <v>18.690000000000001</v>
      </c>
      <c r="V41" s="331">
        <v>24</v>
      </c>
      <c r="W41" s="331">
        <v>51.69</v>
      </c>
      <c r="X41" s="331">
        <v>23.240000000000002</v>
      </c>
      <c r="Y41" s="331">
        <v>74.930000000000007</v>
      </c>
    </row>
    <row r="42" spans="1:25">
      <c r="A42" s="62" t="s">
        <v>7</v>
      </c>
      <c r="B42" s="159"/>
      <c r="C42" s="63"/>
      <c r="D42" s="63">
        <v>-0.13666666666666671</v>
      </c>
      <c r="E42" s="63">
        <v>0.46589446589446615</v>
      </c>
      <c r="F42" s="63">
        <v>-0.7568042142230027</v>
      </c>
      <c r="G42" s="159"/>
      <c r="H42" s="63">
        <v>-0.27797833935018024</v>
      </c>
      <c r="I42" s="63">
        <v>1.1550000000000002</v>
      </c>
      <c r="J42" s="63">
        <v>3.5336426914153121</v>
      </c>
      <c r="K42" s="310"/>
      <c r="L42" s="75" t="s">
        <v>34</v>
      </c>
      <c r="M42" s="159"/>
      <c r="N42" s="63">
        <v>-0.87332646755921728</v>
      </c>
      <c r="O42" s="63">
        <v>0.69105691056910579</v>
      </c>
      <c r="P42" s="63">
        <v>4.7692307692307692</v>
      </c>
      <c r="Q42" s="310"/>
      <c r="R42" s="75" t="s">
        <v>34</v>
      </c>
      <c r="S42" s="159"/>
      <c r="T42" s="63">
        <v>1.1582733812949648</v>
      </c>
      <c r="U42" s="63">
        <v>1.0766666666666667</v>
      </c>
      <c r="V42" s="63">
        <v>0.2841091492776886</v>
      </c>
      <c r="W42" s="310"/>
      <c r="X42" s="75">
        <v>0</v>
      </c>
      <c r="Y42" s="159"/>
    </row>
    <row r="43" spans="1:25">
      <c r="A43" s="62" t="s">
        <v>8</v>
      </c>
      <c r="B43" s="159"/>
      <c r="C43" s="64"/>
      <c r="D43" s="64"/>
      <c r="E43" s="64"/>
      <c r="F43" s="64"/>
      <c r="G43" s="23">
        <v>-0.69655646031590313</v>
      </c>
      <c r="H43" s="64">
        <v>-0.77777777777777779</v>
      </c>
      <c r="I43" s="64">
        <v>-0.44530244530244523</v>
      </c>
      <c r="J43" s="64">
        <v>0.71553994732221238</v>
      </c>
      <c r="K43" s="313"/>
      <c r="L43" s="75" t="s">
        <v>34</v>
      </c>
      <c r="M43" s="23">
        <v>-0.47817652764306495</v>
      </c>
      <c r="N43" s="75" t="s">
        <v>34</v>
      </c>
      <c r="O43" s="75" t="s">
        <v>34</v>
      </c>
      <c r="P43" s="75" t="s">
        <v>34</v>
      </c>
      <c r="Q43" s="313" t="s">
        <v>34</v>
      </c>
      <c r="R43" s="75" t="s">
        <v>34</v>
      </c>
      <c r="S43" s="82" t="s">
        <v>34</v>
      </c>
      <c r="T43" s="75" t="s">
        <v>34</v>
      </c>
      <c r="U43" s="75" t="s">
        <v>34</v>
      </c>
      <c r="V43" s="75" t="s">
        <v>34</v>
      </c>
      <c r="W43" s="313" t="s">
        <v>34</v>
      </c>
      <c r="X43" s="75">
        <v>4.5731414868105542</v>
      </c>
      <c r="Y43" s="82" t="s">
        <v>34</v>
      </c>
    </row>
    <row r="44" spans="1:25" ht="3" customHeight="1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>
      <c r="A45" s="60" t="s">
        <v>366</v>
      </c>
      <c r="B45" s="159">
        <v>115</v>
      </c>
      <c r="C45" s="165">
        <v>18</v>
      </c>
      <c r="D45" s="165">
        <v>14</v>
      </c>
      <c r="E45" s="165">
        <v>14</v>
      </c>
      <c r="F45" s="61">
        <v>5</v>
      </c>
      <c r="G45" s="159">
        <v>51</v>
      </c>
      <c r="H45" s="165">
        <v>20</v>
      </c>
      <c r="I45" s="165">
        <v>4</v>
      </c>
      <c r="J45" s="165">
        <v>-32</v>
      </c>
      <c r="K45" s="312">
        <v>-8</v>
      </c>
      <c r="L45" s="61">
        <v>-149</v>
      </c>
      <c r="M45" s="159">
        <v>-157</v>
      </c>
      <c r="N45" s="165">
        <v>22</v>
      </c>
      <c r="O45" s="165">
        <v>21</v>
      </c>
      <c r="P45" s="165">
        <v>-305</v>
      </c>
      <c r="Q45" s="312">
        <v>-262</v>
      </c>
      <c r="R45" s="165">
        <v>-13</v>
      </c>
      <c r="S45" s="159">
        <v>-275</v>
      </c>
      <c r="T45" s="165">
        <v>-8</v>
      </c>
      <c r="U45" s="165">
        <v>11</v>
      </c>
      <c r="V45" s="165">
        <v>10</v>
      </c>
      <c r="W45" s="312">
        <v>13</v>
      </c>
      <c r="X45" s="165">
        <v>-5</v>
      </c>
      <c r="Y45" s="159">
        <v>8</v>
      </c>
    </row>
    <row r="46" spans="1:25">
      <c r="A46" s="207" t="s">
        <v>206</v>
      </c>
      <c r="B46" s="159">
        <v>2.31</v>
      </c>
      <c r="C46" s="66">
        <v>1.54</v>
      </c>
      <c r="D46" s="263">
        <v>-0.77</v>
      </c>
      <c r="E46" s="165">
        <v>1.54</v>
      </c>
      <c r="F46" s="165">
        <v>3.8500000000000005</v>
      </c>
      <c r="G46" s="159">
        <v>6.16</v>
      </c>
      <c r="H46" s="66">
        <v>0</v>
      </c>
      <c r="I46" s="66">
        <v>12.32</v>
      </c>
      <c r="J46" s="165">
        <v>34.65</v>
      </c>
      <c r="K46" s="312">
        <v>46.97</v>
      </c>
      <c r="L46" s="165">
        <v>150.92000000000002</v>
      </c>
      <c r="M46" s="159">
        <v>197.89000000000001</v>
      </c>
      <c r="N46" s="66">
        <v>0</v>
      </c>
      <c r="O46" s="66">
        <v>0</v>
      </c>
      <c r="P46" s="165">
        <v>282</v>
      </c>
      <c r="Q46" s="312">
        <v>282</v>
      </c>
      <c r="R46" s="165">
        <v>31</v>
      </c>
      <c r="S46" s="159">
        <v>313</v>
      </c>
      <c r="T46" s="66">
        <v>0</v>
      </c>
      <c r="U46" s="165">
        <v>-1</v>
      </c>
      <c r="V46" s="165">
        <v>-2</v>
      </c>
      <c r="W46" s="312">
        <v>-3</v>
      </c>
      <c r="X46" s="165">
        <v>9</v>
      </c>
      <c r="Y46" s="159">
        <v>6</v>
      </c>
    </row>
    <row r="47" spans="1:25">
      <c r="A47" s="286" t="s">
        <v>374</v>
      </c>
      <c r="B47" s="55">
        <v>0</v>
      </c>
      <c r="C47" s="66">
        <v>0</v>
      </c>
      <c r="D47" s="66">
        <v>0</v>
      </c>
      <c r="E47" s="66">
        <v>0</v>
      </c>
      <c r="F47" s="66">
        <v>0</v>
      </c>
      <c r="G47" s="55">
        <v>0</v>
      </c>
      <c r="H47" s="66">
        <v>0</v>
      </c>
      <c r="I47" s="66">
        <v>0</v>
      </c>
      <c r="J47" s="66">
        <v>0</v>
      </c>
      <c r="K47" s="315">
        <v>0</v>
      </c>
      <c r="L47" s="66">
        <v>0</v>
      </c>
      <c r="M47" s="55">
        <v>0</v>
      </c>
      <c r="N47" s="66">
        <v>0</v>
      </c>
      <c r="O47" s="66">
        <v>0</v>
      </c>
      <c r="P47" s="66">
        <v>0</v>
      </c>
      <c r="Q47" s="315">
        <v>0</v>
      </c>
      <c r="R47" s="66">
        <v>0</v>
      </c>
      <c r="S47" s="55">
        <v>0</v>
      </c>
      <c r="T47" s="66">
        <v>1</v>
      </c>
      <c r="U47" s="66">
        <v>1</v>
      </c>
      <c r="V47" s="66">
        <v>1</v>
      </c>
      <c r="W47" s="315">
        <v>3</v>
      </c>
      <c r="X47" s="165">
        <v>-1</v>
      </c>
      <c r="Y47" s="159">
        <v>2</v>
      </c>
    </row>
    <row r="48" spans="1:25">
      <c r="A48" s="350" t="s">
        <v>368</v>
      </c>
      <c r="B48" s="331">
        <v>117.31</v>
      </c>
      <c r="C48" s="331">
        <v>19.54</v>
      </c>
      <c r="D48" s="331">
        <v>13.23</v>
      </c>
      <c r="E48" s="331">
        <v>15.54</v>
      </c>
      <c r="F48" s="331">
        <v>8.8499999999999979</v>
      </c>
      <c r="G48" s="331">
        <v>57.16</v>
      </c>
      <c r="H48" s="331">
        <v>20</v>
      </c>
      <c r="I48" s="331">
        <v>16.32</v>
      </c>
      <c r="J48" s="331">
        <v>2.6499999999999986</v>
      </c>
      <c r="K48" s="331">
        <v>38.97</v>
      </c>
      <c r="L48" s="331">
        <v>1.9200000000000159</v>
      </c>
      <c r="M48" s="331">
        <v>40.890000000000015</v>
      </c>
      <c r="N48" s="331">
        <v>22</v>
      </c>
      <c r="O48" s="331">
        <v>21</v>
      </c>
      <c r="P48" s="331">
        <v>-23</v>
      </c>
      <c r="Q48" s="331">
        <v>20</v>
      </c>
      <c r="R48" s="331">
        <v>18</v>
      </c>
      <c r="S48" s="331">
        <v>38</v>
      </c>
      <c r="T48" s="331">
        <v>-7</v>
      </c>
      <c r="U48" s="331">
        <v>11</v>
      </c>
      <c r="V48" s="331">
        <v>9</v>
      </c>
      <c r="W48" s="331">
        <v>13</v>
      </c>
      <c r="X48" s="331">
        <v>3</v>
      </c>
      <c r="Y48" s="331">
        <v>16</v>
      </c>
    </row>
    <row r="49" spans="1:25">
      <c r="A49" s="62" t="s">
        <v>7</v>
      </c>
      <c r="B49" s="159"/>
      <c r="C49" s="63"/>
      <c r="D49" s="63">
        <v>-0.3229273285568065</v>
      </c>
      <c r="E49" s="63">
        <v>0.17460317460317443</v>
      </c>
      <c r="F49" s="63">
        <v>-0.43050193050193064</v>
      </c>
      <c r="G49" s="159"/>
      <c r="H49" s="63">
        <v>1.259887005649718</v>
      </c>
      <c r="I49" s="63">
        <v>-0.18399999999999994</v>
      </c>
      <c r="J49" s="63">
        <v>-0.83762254901960786</v>
      </c>
      <c r="K49" s="310"/>
      <c r="L49" s="63">
        <v>-0.27547169811320116</v>
      </c>
      <c r="M49" s="159"/>
      <c r="N49" s="63">
        <v>10.458333333333238</v>
      </c>
      <c r="O49" s="63">
        <v>-4.5454545454545414E-2</v>
      </c>
      <c r="P49" s="75" t="s">
        <v>34</v>
      </c>
      <c r="Q49" s="310"/>
      <c r="R49" s="75" t="s">
        <v>34</v>
      </c>
      <c r="S49" s="159"/>
      <c r="T49" s="63">
        <v>-1.3888888888888888</v>
      </c>
      <c r="U49" s="63">
        <v>-2.5714285714285712</v>
      </c>
      <c r="V49" s="63">
        <v>-0.18181818181818177</v>
      </c>
      <c r="W49" s="310"/>
      <c r="X49" s="75" t="s">
        <v>34</v>
      </c>
      <c r="Y49" s="159"/>
    </row>
    <row r="50" spans="1:25">
      <c r="A50" s="62" t="s">
        <v>8</v>
      </c>
      <c r="B50" s="159"/>
      <c r="C50" s="64"/>
      <c r="D50" s="64"/>
      <c r="E50" s="64"/>
      <c r="F50" s="64"/>
      <c r="G50" s="23">
        <v>-0.51274401159321459</v>
      </c>
      <c r="H50" s="64">
        <v>2.3541453428863823E-2</v>
      </c>
      <c r="I50" s="64">
        <v>0.23356009070294781</v>
      </c>
      <c r="J50" s="64">
        <v>-0.82947232947232952</v>
      </c>
      <c r="K50" s="311"/>
      <c r="L50" s="64">
        <v>-0.78305084745762521</v>
      </c>
      <c r="M50" s="23">
        <v>-0.28463960811756439</v>
      </c>
      <c r="N50" s="64">
        <v>0.10000000000000009</v>
      </c>
      <c r="O50" s="64">
        <v>0.28676470588235281</v>
      </c>
      <c r="P50" s="75" t="s">
        <v>34</v>
      </c>
      <c r="Q50" s="311">
        <v>-0.4867847061842443</v>
      </c>
      <c r="R50" s="64">
        <v>8.3749999999999218</v>
      </c>
      <c r="S50" s="23">
        <v>-7.0677427243825197E-2</v>
      </c>
      <c r="T50" s="64">
        <v>-1.3181818181818181</v>
      </c>
      <c r="U50" s="64">
        <v>-0.47619047619047616</v>
      </c>
      <c r="V50" s="75" t="s">
        <v>34</v>
      </c>
      <c r="W50" s="311">
        <v>-0.35</v>
      </c>
      <c r="X50" s="64">
        <v>-0.83333333333333337</v>
      </c>
      <c r="Y50" s="23">
        <v>-0.57894736842105265</v>
      </c>
    </row>
    <row r="51" spans="1:25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>
      <c r="A52" s="60" t="s">
        <v>396</v>
      </c>
      <c r="B52" s="159">
        <v>-244</v>
      </c>
      <c r="C52" s="165">
        <v>1</v>
      </c>
      <c r="D52" s="165">
        <v>-10</v>
      </c>
      <c r="E52" s="165">
        <v>-2</v>
      </c>
      <c r="F52" s="61">
        <v>-37</v>
      </c>
      <c r="G52" s="159">
        <v>-48</v>
      </c>
      <c r="H52" s="165">
        <v>-64</v>
      </c>
      <c r="I52" s="165">
        <v>-11</v>
      </c>
      <c r="J52" s="165">
        <v>-34</v>
      </c>
      <c r="K52" s="312">
        <v>-109</v>
      </c>
      <c r="L52" s="165">
        <v>-40</v>
      </c>
      <c r="M52" s="159">
        <v>-149</v>
      </c>
      <c r="N52" s="165">
        <v>-6</v>
      </c>
      <c r="O52" s="165">
        <v>-11</v>
      </c>
      <c r="P52" s="165">
        <v>-18</v>
      </c>
      <c r="Q52" s="312">
        <v>-35</v>
      </c>
      <c r="R52" s="165">
        <v>-22</v>
      </c>
      <c r="S52" s="159">
        <v>-57</v>
      </c>
      <c r="T52" s="165">
        <v>-12</v>
      </c>
      <c r="U52" s="165">
        <v>-7</v>
      </c>
      <c r="V52" s="165">
        <v>-12</v>
      </c>
      <c r="W52" s="312">
        <v>-31</v>
      </c>
      <c r="X52" s="165">
        <v>-12</v>
      </c>
      <c r="Y52" s="159">
        <v>-43</v>
      </c>
    </row>
    <row r="53" spans="1:25">
      <c r="A53" s="207" t="s">
        <v>206</v>
      </c>
      <c r="B53" s="55">
        <v>0</v>
      </c>
      <c r="C53" s="165">
        <v>2</v>
      </c>
      <c r="D53" s="165">
        <v>7</v>
      </c>
      <c r="E53" s="165">
        <v>0</v>
      </c>
      <c r="F53" s="165">
        <v>8</v>
      </c>
      <c r="G53" s="159">
        <v>17</v>
      </c>
      <c r="H53" s="165">
        <v>43</v>
      </c>
      <c r="I53" s="165">
        <v>-9</v>
      </c>
      <c r="J53" s="165">
        <v>1</v>
      </c>
      <c r="K53" s="312">
        <v>35</v>
      </c>
      <c r="L53" s="165">
        <v>7</v>
      </c>
      <c r="M53" s="159">
        <v>42</v>
      </c>
      <c r="N53" s="165">
        <v>0</v>
      </c>
      <c r="O53" s="165">
        <v>-12</v>
      </c>
      <c r="P53" s="165">
        <v>1</v>
      </c>
      <c r="Q53" s="312">
        <v>-11</v>
      </c>
      <c r="R53" s="165">
        <v>-3</v>
      </c>
      <c r="S53" s="159">
        <v>-14</v>
      </c>
      <c r="T53" s="165">
        <v>-2</v>
      </c>
      <c r="U53" s="66">
        <v>0</v>
      </c>
      <c r="V53" s="66">
        <v>1</v>
      </c>
      <c r="W53" s="312">
        <v>-1</v>
      </c>
      <c r="X53" s="165">
        <v>13</v>
      </c>
      <c r="Y53" s="159">
        <v>12</v>
      </c>
    </row>
    <row r="54" spans="1:25">
      <c r="A54" s="286" t="s">
        <v>374</v>
      </c>
      <c r="B54" s="55">
        <v>0</v>
      </c>
      <c r="C54" s="66">
        <v>0</v>
      </c>
      <c r="D54" s="66">
        <v>0</v>
      </c>
      <c r="E54" s="66">
        <v>0</v>
      </c>
      <c r="F54" s="66">
        <v>0</v>
      </c>
      <c r="G54" s="55">
        <v>0</v>
      </c>
      <c r="H54" s="66">
        <v>0</v>
      </c>
      <c r="I54" s="66">
        <v>0</v>
      </c>
      <c r="J54" s="66">
        <v>0</v>
      </c>
      <c r="K54" s="315">
        <v>0</v>
      </c>
      <c r="L54" s="66">
        <v>0</v>
      </c>
      <c r="M54" s="55">
        <v>0</v>
      </c>
      <c r="N54" s="66">
        <v>0</v>
      </c>
      <c r="O54" s="66">
        <v>0</v>
      </c>
      <c r="P54" s="66">
        <v>0</v>
      </c>
      <c r="Q54" s="315">
        <v>0</v>
      </c>
      <c r="R54" s="66">
        <v>0</v>
      </c>
      <c r="S54" s="55">
        <v>0</v>
      </c>
      <c r="T54" s="66">
        <v>1</v>
      </c>
      <c r="U54" s="66">
        <v>1</v>
      </c>
      <c r="V54" s="66">
        <v>1</v>
      </c>
      <c r="W54" s="315">
        <v>3</v>
      </c>
      <c r="X54" s="66">
        <v>0</v>
      </c>
      <c r="Y54" s="159">
        <v>3</v>
      </c>
    </row>
    <row r="55" spans="1:25">
      <c r="A55" s="351" t="s">
        <v>370</v>
      </c>
      <c r="B55" s="331">
        <v>-244</v>
      </c>
      <c r="C55" s="331">
        <v>3</v>
      </c>
      <c r="D55" s="331">
        <v>-3</v>
      </c>
      <c r="E55" s="331">
        <v>-2</v>
      </c>
      <c r="F55" s="331">
        <v>-29</v>
      </c>
      <c r="G55" s="331">
        <v>-31</v>
      </c>
      <c r="H55" s="331">
        <v>-21</v>
      </c>
      <c r="I55" s="331">
        <v>-20</v>
      </c>
      <c r="J55" s="331">
        <v>-33</v>
      </c>
      <c r="K55" s="331">
        <v>-74</v>
      </c>
      <c r="L55" s="331">
        <v>-33</v>
      </c>
      <c r="M55" s="331">
        <v>-107</v>
      </c>
      <c r="N55" s="331">
        <v>-6</v>
      </c>
      <c r="O55" s="331">
        <v>-23</v>
      </c>
      <c r="P55" s="331">
        <v>-17</v>
      </c>
      <c r="Q55" s="331">
        <v>-46</v>
      </c>
      <c r="R55" s="331">
        <v>-25</v>
      </c>
      <c r="S55" s="331">
        <v>-71</v>
      </c>
      <c r="T55" s="331">
        <v>-13</v>
      </c>
      <c r="U55" s="331">
        <v>-6</v>
      </c>
      <c r="V55" s="331">
        <v>-10</v>
      </c>
      <c r="W55" s="331">
        <v>-29</v>
      </c>
      <c r="X55" s="331">
        <v>1</v>
      </c>
      <c r="Y55" s="331">
        <v>-28</v>
      </c>
    </row>
    <row r="56" spans="1:25">
      <c r="A56" s="62" t="s">
        <v>7</v>
      </c>
      <c r="B56" s="159"/>
      <c r="C56" s="63"/>
      <c r="D56" s="75" t="s">
        <v>34</v>
      </c>
      <c r="E56" s="63">
        <v>-0.33333333333333337</v>
      </c>
      <c r="F56" s="63">
        <v>13.5</v>
      </c>
      <c r="G56" s="159"/>
      <c r="H56" s="63">
        <v>-0.27586206896551724</v>
      </c>
      <c r="I56" s="63">
        <v>-4.7619047619047672E-2</v>
      </c>
      <c r="J56" s="63">
        <v>0.64999999999999991</v>
      </c>
      <c r="K56" s="310"/>
      <c r="L56" s="63">
        <v>0</v>
      </c>
      <c r="M56" s="159"/>
      <c r="N56" s="63">
        <v>-0.81818181818181812</v>
      </c>
      <c r="O56" s="63">
        <v>2.8333333333333335</v>
      </c>
      <c r="P56" s="63">
        <v>-0.26086956521739135</v>
      </c>
      <c r="Q56" s="310"/>
      <c r="R56" s="63">
        <v>0.47058823529411775</v>
      </c>
      <c r="S56" s="159"/>
      <c r="T56" s="63">
        <v>-0.48</v>
      </c>
      <c r="U56" s="63">
        <v>-0.53846153846153844</v>
      </c>
      <c r="V56" s="63">
        <v>0.66666666666666674</v>
      </c>
      <c r="W56" s="310"/>
      <c r="X56" s="63">
        <v>-1.1000000000000001</v>
      </c>
      <c r="Y56" s="159"/>
    </row>
    <row r="57" spans="1:25">
      <c r="A57" s="62" t="s">
        <v>8</v>
      </c>
      <c r="B57" s="159"/>
      <c r="C57" s="64"/>
      <c r="D57" s="64"/>
      <c r="E57" s="64"/>
      <c r="F57" s="64"/>
      <c r="G57" s="23">
        <v>-0.87295081967213117</v>
      </c>
      <c r="H57" s="64">
        <v>-8</v>
      </c>
      <c r="I57" s="64">
        <v>5.666666666666667</v>
      </c>
      <c r="J57" s="64">
        <v>15.5</v>
      </c>
      <c r="K57" s="311"/>
      <c r="L57" s="64">
        <v>0.13793103448275867</v>
      </c>
      <c r="M57" s="23">
        <v>2.4516129032258065</v>
      </c>
      <c r="N57" s="64">
        <v>-0.7142857142857143</v>
      </c>
      <c r="O57" s="64">
        <v>0.14999999999999991</v>
      </c>
      <c r="P57" s="64">
        <v>-0.48484848484848486</v>
      </c>
      <c r="Q57" s="311">
        <v>-0.3783783783783784</v>
      </c>
      <c r="R57" s="64">
        <v>-0.24242424242424243</v>
      </c>
      <c r="S57" s="23">
        <v>-0.33644859813084116</v>
      </c>
      <c r="T57" s="64">
        <v>1.1666666666666665</v>
      </c>
      <c r="U57" s="64">
        <v>-0.73913043478260865</v>
      </c>
      <c r="V57" s="64">
        <v>-0.41176470588235292</v>
      </c>
      <c r="W57" s="311">
        <v>-0.36956521739130432</v>
      </c>
      <c r="X57" s="64">
        <v>-1.04</v>
      </c>
      <c r="Y57" s="23">
        <v>-0.60563380281690149</v>
      </c>
    </row>
    <row r="58" spans="1:25" ht="5.2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45"/>
  <sheetViews>
    <sheetView showGridLines="0" tabSelected="1" zoomScale="110" zoomScaleNormal="110" zoomScalePageLayoutView="90" workbookViewId="0">
      <pane xSplit="1" ySplit="4" topLeftCell="AA132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ColWidth="8.7109375" defaultRowHeight="12.75"/>
  <cols>
    <col min="1" max="1" width="43" customWidth="1"/>
    <col min="2" max="2" width="10.42578125" hidden="1" customWidth="1"/>
    <col min="3" max="7" width="10.42578125" style="1" hidden="1" customWidth="1"/>
    <col min="8" max="10" width="9.42578125" style="1" hidden="1" customWidth="1"/>
    <col min="11" max="11" width="8.7109375" style="1" hidden="1" customWidth="1"/>
    <col min="12" max="12" width="8.28515625" style="1" hidden="1" customWidth="1"/>
    <col min="13" max="15" width="8.7109375" style="1" hidden="1" customWidth="1"/>
    <col min="16" max="16" width="8.28515625" style="1" hidden="1" customWidth="1"/>
    <col min="17" max="18" width="8.7109375" style="1" hidden="1" customWidth="1"/>
    <col min="19" max="21" width="8.42578125" style="1" hidden="1" customWidth="1"/>
    <col min="22" max="22" width="8.7109375" style="1" customWidth="1"/>
    <col min="23" max="23" width="8.42578125" style="1" hidden="1" customWidth="1"/>
    <col min="24" max="24" width="8.7109375" style="1" hidden="1" customWidth="1"/>
    <col min="25" max="26" width="9.28515625" style="1" hidden="1" customWidth="1"/>
    <col min="27" max="27" width="9.28515625" style="1" customWidth="1"/>
    <col min="28" max="31" width="9.28515625" style="1" hidden="1" customWidth="1"/>
    <col min="32" max="32" width="9.28515625" style="1" customWidth="1"/>
    <col min="33" max="36" width="9.28515625" style="1" hidden="1" customWidth="1"/>
    <col min="37" max="37" width="9.28515625" style="1" customWidth="1"/>
    <col min="38" max="41" width="8.7109375" style="1" hidden="1" customWidth="1"/>
    <col min="42" max="42" width="8.7109375" style="1"/>
    <col min="43" max="46" width="8.7109375" style="1" hidden="1" customWidth="1"/>
    <col min="47" max="47" width="8.7109375" style="1"/>
    <col min="48" max="51" width="8.7109375" style="1" hidden="1" customWidth="1"/>
    <col min="52" max="52" width="8.7109375" style="1"/>
    <col min="53" max="56" width="8.7109375" style="1" hidden="1" customWidth="1"/>
    <col min="57" max="57" width="8.7109375" style="1"/>
    <col min="58" max="60" width="8.7109375" style="1" hidden="1" customWidth="1"/>
    <col min="61" max="61" width="8.7109375" style="3" hidden="1" customWidth="1"/>
    <col min="62" max="16384" width="8.7109375" style="3"/>
  </cols>
  <sheetData>
    <row r="1" spans="1:202" ht="15.75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41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40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</row>
    <row r="9" spans="1:202" s="41" customFormat="1">
      <c r="A9" s="328" t="s">
        <v>377</v>
      </c>
      <c r="B9" s="328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</row>
    <row r="11" spans="1:202" ht="12" customHeight="1">
      <c r="A11" s="60" t="s">
        <v>116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AW21+AW16</f>
        <v>1593</v>
      </c>
      <c r="AX11" s="61">
        <v>1608</v>
      </c>
      <c r="AY11" s="61">
        <v>1635</v>
      </c>
      <c r="AZ11" s="35">
        <v>1635</v>
      </c>
      <c r="BA11" s="61">
        <f>BA21+BA16</f>
        <v>1653</v>
      </c>
      <c r="BB11" s="61">
        <f>BB21+BB16</f>
        <v>1662</v>
      </c>
      <c r="BC11" s="61">
        <f>BC21+BC16</f>
        <v>1663</v>
      </c>
      <c r="BD11" s="61">
        <f>BE11</f>
        <v>1656</v>
      </c>
      <c r="BE11" s="35">
        <v>1656</v>
      </c>
      <c r="BF11" s="61">
        <f>BF21+BF16</f>
        <v>1635</v>
      </c>
      <c r="BG11" s="61">
        <f>BG21+BG16</f>
        <v>1613</v>
      </c>
      <c r="BH11" s="61">
        <f>BH21+BH16</f>
        <v>1589</v>
      </c>
      <c r="BI11" s="61">
        <f>BJ11</f>
        <v>1575</v>
      </c>
      <c r="BJ11" s="35">
        <f>BJ21+BJ16</f>
        <v>1575</v>
      </c>
      <c r="BK11" s="61">
        <f>BK21+BK16</f>
        <v>1566</v>
      </c>
      <c r="BL11" s="61">
        <f>BL21+BL16</f>
        <v>1571</v>
      </c>
      <c r="BM11" s="61">
        <f>BM21+BM16</f>
        <v>1565</v>
      </c>
      <c r="BN11" s="61">
        <f>BO11</f>
        <v>1556</v>
      </c>
      <c r="BO11" s="35">
        <f>BO21+BO16</f>
        <v>1556</v>
      </c>
      <c r="BP11" s="61">
        <f>BP21+BP16</f>
        <v>1540</v>
      </c>
      <c r="BQ11" s="61">
        <f>BQ21+BQ16</f>
        <v>1529</v>
      </c>
      <c r="BR11" s="61">
        <f>BR21+BR16</f>
        <v>1524</v>
      </c>
      <c r="BS11" s="61">
        <f>BT11</f>
        <v>1524</v>
      </c>
      <c r="BT11" s="35">
        <f>BT16+BT21</f>
        <v>1524</v>
      </c>
    </row>
    <row r="12" spans="1:202" ht="12" customHeight="1">
      <c r="A12" s="201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-7.1428571428571175E-3</v>
      </c>
      <c r="BR12" s="63">
        <f>BR11/BQ11-1</f>
        <v>-3.2701111837802888E-3</v>
      </c>
      <c r="BS12" s="63">
        <f>BS11/BR11-1</f>
        <v>0</v>
      </c>
      <c r="BT12" s="23"/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N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ref="O13:Y13" si="1">O11/J11-1</f>
        <v>2.9239766081871288E-2</v>
      </c>
      <c r="P13" s="63">
        <f t="shared" si="1"/>
        <v>2.9951690821256038E-2</v>
      </c>
      <c r="Q13" s="23">
        <f t="shared" si="1"/>
        <v>2.9951690821256038E-2</v>
      </c>
      <c r="R13" s="64">
        <f t="shared" si="1"/>
        <v>3.2535885167464196E-2</v>
      </c>
      <c r="S13" s="64">
        <f t="shared" si="1"/>
        <v>3.520456707897246E-2</v>
      </c>
      <c r="T13" s="64">
        <f t="shared" si="1"/>
        <v>4.1666666666666741E-2</v>
      </c>
      <c r="U13" s="63">
        <f t="shared" si="1"/>
        <v>4.2213883677298281E-2</v>
      </c>
      <c r="V13" s="23">
        <f t="shared" si="1"/>
        <v>4.2213883677298281E-2</v>
      </c>
      <c r="W13" s="64">
        <f t="shared" si="1"/>
        <v>3.8924930491195608E-2</v>
      </c>
      <c r="X13" s="64">
        <f t="shared" si="1"/>
        <v>4.4117647058823595E-2</v>
      </c>
      <c r="Y13" s="64">
        <f t="shared" si="1"/>
        <v>4.8181818181818103E-2</v>
      </c>
      <c r="Z13" s="63">
        <f t="shared" ref="Z13:AI13" si="2">Z11/U11-1</f>
        <v>5.2205220522052231E-2</v>
      </c>
      <c r="AA13" s="23">
        <f t="shared" si="2"/>
        <v>5.2205220522052231E-2</v>
      </c>
      <c r="AB13" s="64">
        <f t="shared" si="2"/>
        <v>5.7091882247992887E-2</v>
      </c>
      <c r="AC13" s="64">
        <f t="shared" si="2"/>
        <v>5.8098591549295753E-2</v>
      </c>
      <c r="AD13" s="64">
        <f t="shared" si="2"/>
        <v>6.6782307025151866E-2</v>
      </c>
      <c r="AE13" s="63">
        <f t="shared" si="2"/>
        <v>8.0410607356715236E-2</v>
      </c>
      <c r="AF13" s="23">
        <f t="shared" si="2"/>
        <v>8.0410607356715236E-2</v>
      </c>
      <c r="AG13" s="64">
        <f t="shared" si="2"/>
        <v>8.7763713080168726E-2</v>
      </c>
      <c r="AH13" s="64">
        <f t="shared" si="2"/>
        <v>8.8186356073211236E-2</v>
      </c>
      <c r="AI13" s="64">
        <f t="shared" si="2"/>
        <v>8.5365853658536661E-2</v>
      </c>
      <c r="AJ13" s="63">
        <f t="shared" ref="AJ13:AS13" si="3">AJ11/AE11-1</f>
        <v>7.9968329374505043E-2</v>
      </c>
      <c r="AK13" s="23">
        <f t="shared" si="3"/>
        <v>7.9968329374505043E-2</v>
      </c>
      <c r="AL13" s="64">
        <f t="shared" si="3"/>
        <v>7.8355314197051884E-2</v>
      </c>
      <c r="AM13" s="64">
        <f t="shared" si="3"/>
        <v>8.4097859327217028E-2</v>
      </c>
      <c r="AN13" s="64">
        <f t="shared" si="3"/>
        <v>8.4644194756554381E-2</v>
      </c>
      <c r="AO13" s="63">
        <f t="shared" si="3"/>
        <v>8.4310850439882623E-2</v>
      </c>
      <c r="AP13" s="23">
        <f t="shared" si="3"/>
        <v>8.4310850439882623E-2</v>
      </c>
      <c r="AQ13" s="64">
        <f t="shared" si="3"/>
        <v>8.1294964028777006E-2</v>
      </c>
      <c r="AR13" s="64">
        <f t="shared" si="3"/>
        <v>7.2637517630465442E-2</v>
      </c>
      <c r="AS13" s="64">
        <f t="shared" si="3"/>
        <v>6.2845303867403279E-2</v>
      </c>
      <c r="AT13" s="63">
        <f t="shared" ref="AT13:BT13" si="4">AT11/AO11-1</f>
        <v>5.3414469235970152E-2</v>
      </c>
      <c r="AU13" s="23">
        <f t="shared" si="4"/>
        <v>5.3414469235970152E-2</v>
      </c>
      <c r="AV13" s="64">
        <f t="shared" si="4"/>
        <v>5.1230871590153049E-2</v>
      </c>
      <c r="AW13" s="64">
        <f t="shared" si="4"/>
        <v>4.7337278106508895E-2</v>
      </c>
      <c r="AX13" s="64">
        <f t="shared" si="4"/>
        <v>4.4834307992202671E-2</v>
      </c>
      <c r="AY13" s="63">
        <f t="shared" si="4"/>
        <v>4.942233632862636E-2</v>
      </c>
      <c r="AZ13" s="23">
        <f t="shared" si="4"/>
        <v>4.942233632862636E-2</v>
      </c>
      <c r="BA13" s="64">
        <f t="shared" si="4"/>
        <v>4.6202531645569644E-2</v>
      </c>
      <c r="BB13" s="64">
        <f t="shared" si="4"/>
        <v>4.3314500941619594E-2</v>
      </c>
      <c r="BC13" s="64">
        <f t="shared" si="4"/>
        <v>3.4203980099502429E-2</v>
      </c>
      <c r="BD13" s="63">
        <f t="shared" si="4"/>
        <v>1.2844036697247763E-2</v>
      </c>
      <c r="BE13" s="23">
        <f t="shared" si="4"/>
        <v>1.2844036697247763E-2</v>
      </c>
      <c r="BF13" s="64">
        <f t="shared" si="4"/>
        <v>-1.0889292196007205E-2</v>
      </c>
      <c r="BG13" s="64">
        <f t="shared" si="4"/>
        <v>-2.9482551143200975E-2</v>
      </c>
      <c r="BH13" s="64">
        <f t="shared" si="4"/>
        <v>-4.4497895369813634E-2</v>
      </c>
      <c r="BI13" s="63">
        <f t="shared" si="4"/>
        <v>-4.8913043478260865E-2</v>
      </c>
      <c r="BJ13" s="23">
        <f t="shared" si="4"/>
        <v>-4.8913043478260865E-2</v>
      </c>
      <c r="BK13" s="64">
        <f t="shared" si="4"/>
        <v>-4.2201834862385268E-2</v>
      </c>
      <c r="BL13" s="64">
        <f t="shared" si="4"/>
        <v>-2.603843769373837E-2</v>
      </c>
      <c r="BM13" s="64">
        <f t="shared" si="4"/>
        <v>-1.5103838892385202E-2</v>
      </c>
      <c r="BN13" s="63">
        <f t="shared" si="4"/>
        <v>-1.2063492063492109E-2</v>
      </c>
      <c r="BO13" s="23">
        <f t="shared" si="4"/>
        <v>-1.2063492063492109E-2</v>
      </c>
      <c r="BP13" s="64">
        <f t="shared" si="4"/>
        <v>-1.6602809706257937E-2</v>
      </c>
      <c r="BQ13" s="64">
        <f t="shared" si="4"/>
        <v>-2.6734563971992364E-2</v>
      </c>
      <c r="BR13" s="64">
        <f t="shared" si="4"/>
        <v>-2.6198083067092703E-2</v>
      </c>
      <c r="BS13" s="63">
        <f t="shared" si="4"/>
        <v>-2.0565552699228773E-2</v>
      </c>
      <c r="BT13" s="23">
        <f t="shared" si="4"/>
        <v>-2.0565552699228773E-2</v>
      </c>
    </row>
    <row r="14" spans="1:202" ht="12" customHeight="1">
      <c r="A14" s="62" t="s">
        <v>155</v>
      </c>
      <c r="B14" s="23"/>
      <c r="C14" s="64"/>
      <c r="D14" s="64"/>
      <c r="E14" s="64"/>
      <c r="F14" s="64"/>
      <c r="G14" s="177">
        <f>G11-B11</f>
        <v>42</v>
      </c>
      <c r="H14" s="64"/>
      <c r="I14" s="64"/>
      <c r="J14" s="64"/>
      <c r="K14" s="63"/>
      <c r="L14" s="177">
        <f>L11-G11</f>
        <v>30</v>
      </c>
      <c r="M14" s="64"/>
      <c r="N14" s="64"/>
      <c r="O14" s="64"/>
      <c r="P14" s="63"/>
      <c r="Q14" s="177">
        <f>Q11-L11</f>
        <v>31</v>
      </c>
      <c r="R14" s="64"/>
      <c r="S14" s="64"/>
      <c r="T14" s="64"/>
      <c r="U14" s="63"/>
      <c r="V14" s="289">
        <f>V11-Q11</f>
        <v>45</v>
      </c>
      <c r="W14" s="290"/>
      <c r="X14" s="290"/>
      <c r="Y14" s="290"/>
      <c r="Z14" s="291"/>
      <c r="AA14" s="289">
        <f>AA11-V11</f>
        <v>58</v>
      </c>
      <c r="AB14" s="290"/>
      <c r="AC14" s="290"/>
      <c r="AD14" s="290"/>
      <c r="AE14" s="291"/>
      <c r="AF14" s="289">
        <f>AF11-AA11</f>
        <v>94</v>
      </c>
      <c r="AG14" s="290"/>
      <c r="AH14" s="290"/>
      <c r="AI14" s="290"/>
      <c r="AJ14" s="291"/>
      <c r="AK14" s="289">
        <f>AK11-AF11</f>
        <v>101</v>
      </c>
      <c r="AL14" s="290"/>
      <c r="AM14" s="292">
        <f>AM11-AL11</f>
        <v>28</v>
      </c>
      <c r="AN14" s="292">
        <f>AN11-AM11</f>
        <v>30</v>
      </c>
      <c r="AO14" s="292">
        <f>AO11-AN11</f>
        <v>31</v>
      </c>
      <c r="AP14" s="289">
        <f>AP11-AK11</f>
        <v>115</v>
      </c>
      <c r="AQ14" s="293">
        <f>AQ11-AO11</f>
        <v>24</v>
      </c>
      <c r="AR14" s="293">
        <f>AR11-AQ11</f>
        <v>18</v>
      </c>
      <c r="AS14" s="293">
        <f>AS11-AR11</f>
        <v>18</v>
      </c>
      <c r="AT14" s="293">
        <f>AT11-AS11</f>
        <v>19</v>
      </c>
      <c r="AU14" s="289">
        <f>AU11-AP11</f>
        <v>79</v>
      </c>
      <c r="AV14" s="293">
        <f>AV11-AT11</f>
        <v>22</v>
      </c>
      <c r="AW14" s="293">
        <f>AW11-AV11</f>
        <v>13</v>
      </c>
      <c r="AX14" s="293">
        <f>AX11-AW11</f>
        <v>15</v>
      </c>
      <c r="AY14" s="293">
        <f>AY11-AX11</f>
        <v>27</v>
      </c>
      <c r="AZ14" s="289">
        <f>AZ11-AU11</f>
        <v>77</v>
      </c>
      <c r="BA14" s="293">
        <f>BA11-AY11</f>
        <v>18</v>
      </c>
      <c r="BB14" s="293">
        <f>BB11-BA11</f>
        <v>9</v>
      </c>
      <c r="BC14" s="293">
        <f>BC11-BB11</f>
        <v>1</v>
      </c>
      <c r="BD14" s="293">
        <f>BD11-BC11</f>
        <v>-7</v>
      </c>
      <c r="BE14" s="289">
        <f>BE11-AZ11</f>
        <v>21</v>
      </c>
      <c r="BF14" s="293">
        <f>BF11-BD11</f>
        <v>-21</v>
      </c>
      <c r="BG14" s="293">
        <f>BG11-BF11</f>
        <v>-22</v>
      </c>
      <c r="BH14" s="293">
        <f>BH11-BG11</f>
        <v>-24</v>
      </c>
      <c r="BI14" s="293">
        <f>BI11-BH11</f>
        <v>-14</v>
      </c>
      <c r="BJ14" s="289">
        <f>BJ11-BE11</f>
        <v>-81</v>
      </c>
      <c r="BK14" s="293">
        <f>BK11-BI11</f>
        <v>-9</v>
      </c>
      <c r="BL14" s="293">
        <f>BL11-BK11</f>
        <v>5</v>
      </c>
      <c r="BM14" s="293">
        <f>BM11-BL11</f>
        <v>-6</v>
      </c>
      <c r="BN14" s="293">
        <f>BN11-BM11</f>
        <v>-9</v>
      </c>
      <c r="BO14" s="289">
        <f>BO11-BJ11</f>
        <v>-19</v>
      </c>
      <c r="BP14" s="293">
        <f>BP11-BN11</f>
        <v>-16</v>
      </c>
      <c r="BQ14" s="293">
        <f>BQ11-BP11</f>
        <v>-11</v>
      </c>
      <c r="BR14" s="293">
        <f>BR11-BQ11</f>
        <v>-5</v>
      </c>
      <c r="BS14" s="293">
        <f>BS11-BR11</f>
        <v>0</v>
      </c>
      <c r="BT14" s="289">
        <f>BT11-BO11</f>
        <v>-32</v>
      </c>
    </row>
    <row r="15" spans="1:202" ht="12" customHeight="1">
      <c r="A15" s="62"/>
      <c r="B15" s="23"/>
      <c r="C15" s="64"/>
      <c r="D15" s="64"/>
      <c r="E15" s="64"/>
      <c r="F15" s="64"/>
      <c r="G15" s="23"/>
      <c r="H15" s="64"/>
      <c r="I15" s="64"/>
      <c r="J15" s="64"/>
      <c r="K15" s="63"/>
      <c r="L15" s="23"/>
      <c r="M15" s="64"/>
      <c r="N15" s="64"/>
      <c r="O15" s="64"/>
      <c r="P15" s="63"/>
      <c r="Q15" s="23"/>
      <c r="R15" s="64"/>
      <c r="S15" s="64"/>
      <c r="T15" s="64"/>
      <c r="U15" s="63"/>
      <c r="V15" s="23"/>
      <c r="W15" s="64"/>
      <c r="X15" s="64"/>
      <c r="Y15" s="64"/>
      <c r="Z15" s="63"/>
      <c r="AA15" s="23"/>
      <c r="AB15" s="64"/>
      <c r="AC15" s="64"/>
      <c r="AD15" s="64"/>
      <c r="AE15" s="63"/>
      <c r="AF15" s="23"/>
      <c r="AG15" s="64"/>
      <c r="AH15" s="64"/>
      <c r="AI15" s="64"/>
      <c r="AJ15" s="63"/>
      <c r="AK15" s="23"/>
      <c r="AL15" s="64"/>
      <c r="AM15" s="64"/>
      <c r="AN15" s="64"/>
      <c r="AO15" s="63"/>
      <c r="AP15" s="23"/>
      <c r="AQ15" s="64"/>
      <c r="AR15" s="64"/>
      <c r="AS15" s="64"/>
      <c r="AT15" s="63"/>
      <c r="AU15" s="23"/>
      <c r="AV15" s="64"/>
      <c r="AW15" s="64"/>
      <c r="AX15" s="64"/>
      <c r="AY15" s="63"/>
      <c r="AZ15" s="23"/>
      <c r="BA15" s="64"/>
      <c r="BB15" s="64"/>
      <c r="BC15" s="64"/>
      <c r="BD15" s="63"/>
      <c r="BE15" s="23"/>
      <c r="BF15" s="64"/>
      <c r="BG15" s="64"/>
      <c r="BH15" s="64"/>
      <c r="BI15" s="63"/>
      <c r="BJ15" s="23"/>
      <c r="BK15" s="64"/>
      <c r="BL15" s="64"/>
      <c r="BM15" s="64"/>
      <c r="BN15" s="63"/>
      <c r="BO15" s="23"/>
      <c r="BP15" s="64"/>
      <c r="BQ15" s="64"/>
      <c r="BR15" s="64"/>
      <c r="BS15" s="63"/>
      <c r="BT15" s="23"/>
    </row>
    <row r="16" spans="1:202">
      <c r="A16" s="60" t="s">
        <v>149</v>
      </c>
      <c r="B16" s="36">
        <v>963</v>
      </c>
      <c r="C16" s="60">
        <v>970</v>
      </c>
      <c r="D16" s="60">
        <v>982</v>
      </c>
      <c r="E16" s="60">
        <v>994</v>
      </c>
      <c r="F16" s="61">
        <v>1005</v>
      </c>
      <c r="G16" s="36">
        <v>1005</v>
      </c>
      <c r="H16" s="61">
        <v>1011</v>
      </c>
      <c r="I16" s="61">
        <v>1016</v>
      </c>
      <c r="J16" s="61">
        <v>1026</v>
      </c>
      <c r="K16" s="61">
        <v>1035</v>
      </c>
      <c r="L16" s="35">
        <v>1035</v>
      </c>
      <c r="M16" s="61">
        <v>1045</v>
      </c>
      <c r="N16" s="61">
        <v>1051</v>
      </c>
      <c r="O16" s="61">
        <v>1056</v>
      </c>
      <c r="P16" s="61">
        <v>1066</v>
      </c>
      <c r="Q16" s="35">
        <v>1066</v>
      </c>
      <c r="R16" s="61">
        <v>1079</v>
      </c>
      <c r="S16" s="61">
        <v>1088</v>
      </c>
      <c r="T16" s="61">
        <v>1100</v>
      </c>
      <c r="U16" s="61">
        <v>1111</v>
      </c>
      <c r="V16" s="35">
        <v>1111</v>
      </c>
      <c r="W16" s="61">
        <v>1121</v>
      </c>
      <c r="X16" s="61">
        <v>1136</v>
      </c>
      <c r="Y16" s="61">
        <v>1153</v>
      </c>
      <c r="Z16" s="61">
        <v>1169</v>
      </c>
      <c r="AA16" s="35">
        <v>1169</v>
      </c>
      <c r="AB16" s="61">
        <v>1185</v>
      </c>
      <c r="AC16" s="61">
        <v>1202</v>
      </c>
      <c r="AD16" s="61">
        <v>1230</v>
      </c>
      <c r="AE16" s="61">
        <v>1263</v>
      </c>
      <c r="AF16" s="35">
        <v>1263</v>
      </c>
      <c r="AG16" s="61">
        <v>1289</v>
      </c>
      <c r="AH16" s="61">
        <v>1308</v>
      </c>
      <c r="AI16" s="61">
        <v>1335</v>
      </c>
      <c r="AJ16" s="61">
        <v>1364</v>
      </c>
      <c r="AK16" s="35">
        <v>1364</v>
      </c>
      <c r="AL16" s="61">
        <f t="shared" ref="AL16:AV16" si="5">AL11-AL21</f>
        <v>1379</v>
      </c>
      <c r="AM16" s="61">
        <f t="shared" si="5"/>
        <v>1340</v>
      </c>
      <c r="AN16" s="61">
        <f t="shared" si="5"/>
        <v>1271</v>
      </c>
      <c r="AO16" s="61">
        <f t="shared" si="5"/>
        <v>1235</v>
      </c>
      <c r="AP16" s="35">
        <f t="shared" si="5"/>
        <v>1235</v>
      </c>
      <c r="AQ16" s="61">
        <f t="shared" si="5"/>
        <v>1213</v>
      </c>
      <c r="AR16" s="61">
        <f t="shared" si="5"/>
        <v>1198</v>
      </c>
      <c r="AS16" s="61">
        <f t="shared" si="5"/>
        <v>1192</v>
      </c>
      <c r="AT16" s="61">
        <f t="shared" si="5"/>
        <v>1181</v>
      </c>
      <c r="AU16" s="35">
        <f t="shared" si="5"/>
        <v>1181</v>
      </c>
      <c r="AV16" s="61">
        <f t="shared" si="5"/>
        <v>1166</v>
      </c>
      <c r="AW16" s="61">
        <v>1149</v>
      </c>
      <c r="AX16" s="61">
        <v>1124</v>
      </c>
      <c r="AY16" s="61">
        <f>AY11-AY21</f>
        <v>1103</v>
      </c>
      <c r="AZ16" s="35">
        <f>AZ11-AZ21</f>
        <v>1103</v>
      </c>
      <c r="BA16" s="61">
        <v>1079</v>
      </c>
      <c r="BB16" s="61">
        <v>1062</v>
      </c>
      <c r="BC16" s="61">
        <v>1046</v>
      </c>
      <c r="BD16" s="61">
        <v>1030</v>
      </c>
      <c r="BE16" s="35">
        <f>BE11-BE21</f>
        <v>1030</v>
      </c>
      <c r="BF16" s="61">
        <v>1011</v>
      </c>
      <c r="BG16" s="61">
        <v>1001</v>
      </c>
      <c r="BH16" s="61">
        <v>988</v>
      </c>
      <c r="BI16" s="61">
        <v>983</v>
      </c>
      <c r="BJ16" s="35">
        <v>983</v>
      </c>
      <c r="BK16" s="61">
        <v>982</v>
      </c>
      <c r="BL16" s="61">
        <v>991</v>
      </c>
      <c r="BM16" s="61">
        <v>995</v>
      </c>
      <c r="BN16" s="61">
        <f>BO16</f>
        <v>999</v>
      </c>
      <c r="BO16" s="35">
        <v>999</v>
      </c>
      <c r="BP16" s="61">
        <v>1001</v>
      </c>
      <c r="BQ16" s="61">
        <v>1009</v>
      </c>
      <c r="BR16" s="61">
        <f>978+36</f>
        <v>1014</v>
      </c>
      <c r="BS16" s="61">
        <f>BT16</f>
        <v>1023</v>
      </c>
      <c r="BT16" s="35">
        <v>1023</v>
      </c>
    </row>
    <row r="17" spans="1:202">
      <c r="A17" s="62" t="s">
        <v>7</v>
      </c>
      <c r="B17" s="23"/>
      <c r="C17" s="63"/>
      <c r="D17" s="63">
        <f>D16/C16-1</f>
        <v>1.2371134020618513E-2</v>
      </c>
      <c r="E17" s="63">
        <f>E16/D16-1</f>
        <v>1.2219959266802416E-2</v>
      </c>
      <c r="F17" s="63">
        <f>F16/E16-1</f>
        <v>1.1066398390342069E-2</v>
      </c>
      <c r="G17" s="23"/>
      <c r="H17" s="63">
        <f>H16/F16-1</f>
        <v>5.9701492537314049E-3</v>
      </c>
      <c r="I17" s="63">
        <f>I16/H16-1</f>
        <v>4.9455984174084922E-3</v>
      </c>
      <c r="J17" s="63">
        <f>J16/I16-1</f>
        <v>9.8425196850393526E-3</v>
      </c>
      <c r="K17" s="63">
        <f>K16/J16-1</f>
        <v>8.7719298245614308E-3</v>
      </c>
      <c r="L17" s="23"/>
      <c r="M17" s="63">
        <f>M16/K16-1</f>
        <v>9.6618357487923134E-3</v>
      </c>
      <c r="N17" s="63">
        <f>N16/M16-1</f>
        <v>5.7416267942582699E-3</v>
      </c>
      <c r="O17" s="63">
        <f>O16/N16-1</f>
        <v>4.7573739295909689E-3</v>
      </c>
      <c r="P17" s="63">
        <f>P16/O16-1</f>
        <v>9.4696969696970168E-3</v>
      </c>
      <c r="Q17" s="23"/>
      <c r="R17" s="63">
        <f>R16/P16-1</f>
        <v>1.2195121951219523E-2</v>
      </c>
      <c r="S17" s="63">
        <f>S16/R16-1</f>
        <v>8.3410565338275511E-3</v>
      </c>
      <c r="T17" s="63">
        <f>T16/S16-1</f>
        <v>1.1029411764705843E-2</v>
      </c>
      <c r="U17" s="63">
        <f>U16/T16-1</f>
        <v>1.0000000000000009E-2</v>
      </c>
      <c r="V17" s="23"/>
      <c r="W17" s="63">
        <f>W16/U16-1</f>
        <v>9.0009000900090896E-3</v>
      </c>
      <c r="X17" s="63">
        <f>X16/W16-1</f>
        <v>1.338090990187335E-2</v>
      </c>
      <c r="Y17" s="63">
        <f>Y16/X16-1</f>
        <v>1.4964788732394263E-2</v>
      </c>
      <c r="Z17" s="63">
        <f>Z16/Y16-1</f>
        <v>1.3876843018213458E-2</v>
      </c>
      <c r="AA17" s="23"/>
      <c r="AB17" s="63">
        <f>AB16/Z16-1</f>
        <v>1.3686911890504749E-2</v>
      </c>
      <c r="AC17" s="63">
        <f>AC16/AB16-1</f>
        <v>1.4345991561181437E-2</v>
      </c>
      <c r="AD17" s="63">
        <f>AD16/AC16-1</f>
        <v>2.3294509151414289E-2</v>
      </c>
      <c r="AE17" s="63">
        <f>AE16/AD16-1</f>
        <v>2.6829268292682951E-2</v>
      </c>
      <c r="AF17" s="23"/>
      <c r="AG17" s="63">
        <f>AG16/AE16-1</f>
        <v>2.0585906571654711E-2</v>
      </c>
      <c r="AH17" s="63">
        <f>AH16/AG16-1</f>
        <v>1.4740108611326574E-2</v>
      </c>
      <c r="AI17" s="63">
        <f>AI16/AH16-1</f>
        <v>2.0642201834862428E-2</v>
      </c>
      <c r="AJ17" s="63">
        <f>AJ16/AI16-1</f>
        <v>2.1722846441947663E-2</v>
      </c>
      <c r="AK17" s="23"/>
      <c r="AL17" s="63">
        <f>AL16/AJ16-1</f>
        <v>1.0997067448680342E-2</v>
      </c>
      <c r="AM17" s="63">
        <f>AM16/AL16-1</f>
        <v>-2.8281363306744023E-2</v>
      </c>
      <c r="AN17" s="63">
        <f>AN16/AM16-1</f>
        <v>-5.149253731343284E-2</v>
      </c>
      <c r="AO17" s="63">
        <f>AO16/AN16-1</f>
        <v>-2.8324154209284025E-2</v>
      </c>
      <c r="AP17" s="23"/>
      <c r="AQ17" s="63">
        <f>AQ16/AO16-1</f>
        <v>-1.7813765182186247E-2</v>
      </c>
      <c r="AR17" s="63">
        <f>AR16/AQ16-1</f>
        <v>-1.2366034624896938E-2</v>
      </c>
      <c r="AS17" s="63">
        <f>AS16/AR16-1</f>
        <v>-5.008347245408995E-3</v>
      </c>
      <c r="AT17" s="63">
        <f>AT16/AS16-1</f>
        <v>-9.2281879194631156E-3</v>
      </c>
      <c r="AU17" s="23"/>
      <c r="AV17" s="63">
        <f>AV16/AT16-1</f>
        <v>-1.2701100762066098E-2</v>
      </c>
      <c r="AW17" s="63">
        <f>AW16/AV16-1</f>
        <v>-1.4579759862778707E-2</v>
      </c>
      <c r="AX17" s="63">
        <f>AX16/AW16-1</f>
        <v>-2.1758050478677071E-2</v>
      </c>
      <c r="AY17" s="63">
        <f>AY16/AX16-1</f>
        <v>-1.8683274021352281E-2</v>
      </c>
      <c r="AZ17" s="23"/>
      <c r="BA17" s="63">
        <f>BA16/AY16-1</f>
        <v>-2.1758839528558505E-2</v>
      </c>
      <c r="BB17" s="63">
        <f>BB16/BA16-1</f>
        <v>-1.575532900834109E-2</v>
      </c>
      <c r="BC17" s="63">
        <f>BC16/BB16-1</f>
        <v>-1.5065913370998163E-2</v>
      </c>
      <c r="BD17" s="63">
        <f>BD16/BC16-1</f>
        <v>-1.5296367112810683E-2</v>
      </c>
      <c r="BE17" s="23"/>
      <c r="BF17" s="63">
        <f>BF16/BD16-1</f>
        <v>-1.844660194174752E-2</v>
      </c>
      <c r="BG17" s="63">
        <f>BG16/BF16-1</f>
        <v>-9.8911968348169843E-3</v>
      </c>
      <c r="BH17" s="63">
        <f>BH16/BG16-1</f>
        <v>-1.2987012987012991E-2</v>
      </c>
      <c r="BI17" s="63">
        <f>BI16/BH16-1</f>
        <v>-5.0607287449392357E-3</v>
      </c>
      <c r="BJ17" s="23"/>
      <c r="BK17" s="63">
        <f>BK16/BI16-1</f>
        <v>-1.0172939979654627E-3</v>
      </c>
      <c r="BL17" s="63">
        <f>BL16/BK16-1</f>
        <v>9.164969450101923E-3</v>
      </c>
      <c r="BM17" s="63">
        <f>BM16/BL16-1</f>
        <v>4.0363269424823489E-3</v>
      </c>
      <c r="BN17" s="63">
        <f>BN16/BM16-1</f>
        <v>4.020100502512669E-3</v>
      </c>
      <c r="BO17" s="23"/>
      <c r="BP17" s="63">
        <f>BP16/BN16-1</f>
        <v>2.0020020020019569E-3</v>
      </c>
      <c r="BQ17" s="63">
        <f>BQ16/BP16-1</f>
        <v>7.9920079920079434E-3</v>
      </c>
      <c r="BR17" s="63">
        <f>BR16/BQ16-1</f>
        <v>4.9554013875123815E-3</v>
      </c>
      <c r="BS17" s="63">
        <f>BS16/BR16-1</f>
        <v>8.8757396449703485E-3</v>
      </c>
      <c r="BT17" s="23"/>
    </row>
    <row r="18" spans="1:202">
      <c r="A18" s="62" t="s">
        <v>8</v>
      </c>
      <c r="B18" s="23"/>
      <c r="C18" s="64"/>
      <c r="D18" s="64"/>
      <c r="E18" s="64"/>
      <c r="F18" s="64"/>
      <c r="G18" s="23">
        <f t="shared" ref="G18:AL18" si="6">G16/B16-1</f>
        <v>4.3613707165109039E-2</v>
      </c>
      <c r="H18" s="64">
        <f t="shared" si="6"/>
        <v>4.2268041237113474E-2</v>
      </c>
      <c r="I18" s="64">
        <f t="shared" si="6"/>
        <v>3.4623217922606919E-2</v>
      </c>
      <c r="J18" s="64">
        <f t="shared" si="6"/>
        <v>3.2193158953722323E-2</v>
      </c>
      <c r="K18" s="63">
        <f t="shared" si="6"/>
        <v>2.9850746268656803E-2</v>
      </c>
      <c r="L18" s="23">
        <f t="shared" si="6"/>
        <v>2.9850746268656803E-2</v>
      </c>
      <c r="M18" s="64">
        <f t="shared" si="6"/>
        <v>3.3630069238377747E-2</v>
      </c>
      <c r="N18" s="64">
        <f t="shared" si="6"/>
        <v>3.4448818897637734E-2</v>
      </c>
      <c r="O18" s="64">
        <f t="shared" si="6"/>
        <v>2.9239766081871288E-2</v>
      </c>
      <c r="P18" s="63">
        <f t="shared" si="6"/>
        <v>2.9951690821256038E-2</v>
      </c>
      <c r="Q18" s="23">
        <f t="shared" si="6"/>
        <v>2.9951690821256038E-2</v>
      </c>
      <c r="R18" s="64">
        <f t="shared" si="6"/>
        <v>3.2535885167464196E-2</v>
      </c>
      <c r="S18" s="64">
        <f t="shared" si="6"/>
        <v>3.520456707897246E-2</v>
      </c>
      <c r="T18" s="64">
        <f t="shared" si="6"/>
        <v>4.1666666666666741E-2</v>
      </c>
      <c r="U18" s="63">
        <f t="shared" si="6"/>
        <v>4.2213883677298281E-2</v>
      </c>
      <c r="V18" s="23">
        <f t="shared" si="6"/>
        <v>4.2213883677298281E-2</v>
      </c>
      <c r="W18" s="64">
        <f t="shared" si="6"/>
        <v>3.8924930491195608E-2</v>
      </c>
      <c r="X18" s="64">
        <f t="shared" si="6"/>
        <v>4.4117647058823595E-2</v>
      </c>
      <c r="Y18" s="64">
        <f t="shared" si="6"/>
        <v>4.8181818181818103E-2</v>
      </c>
      <c r="Z18" s="63">
        <f t="shared" si="6"/>
        <v>5.2205220522052231E-2</v>
      </c>
      <c r="AA18" s="23">
        <f t="shared" si="6"/>
        <v>5.2205220522052231E-2</v>
      </c>
      <c r="AB18" s="64">
        <f t="shared" si="6"/>
        <v>5.7091882247992887E-2</v>
      </c>
      <c r="AC18" s="64">
        <f t="shared" si="6"/>
        <v>5.8098591549295753E-2</v>
      </c>
      <c r="AD18" s="64">
        <f t="shared" si="6"/>
        <v>6.6782307025151866E-2</v>
      </c>
      <c r="AE18" s="63">
        <f t="shared" si="6"/>
        <v>8.0410607356715236E-2</v>
      </c>
      <c r="AF18" s="23">
        <f t="shared" si="6"/>
        <v>8.0410607356715236E-2</v>
      </c>
      <c r="AG18" s="64">
        <f t="shared" si="6"/>
        <v>8.7763713080168726E-2</v>
      </c>
      <c r="AH18" s="64">
        <f t="shared" si="6"/>
        <v>8.8186356073211236E-2</v>
      </c>
      <c r="AI18" s="64">
        <f t="shared" si="6"/>
        <v>8.5365853658536661E-2</v>
      </c>
      <c r="AJ18" s="63">
        <f t="shared" si="6"/>
        <v>7.9968329374505043E-2</v>
      </c>
      <c r="AK18" s="23">
        <f t="shared" si="6"/>
        <v>7.9968329374505043E-2</v>
      </c>
      <c r="AL18" s="64">
        <f t="shared" si="6"/>
        <v>6.9821567106283844E-2</v>
      </c>
      <c r="AM18" s="64">
        <f t="shared" ref="AM18:BR18" si="7">AM16/AH16-1</f>
        <v>2.4464831804281273E-2</v>
      </c>
      <c r="AN18" s="64">
        <f t="shared" si="7"/>
        <v>-4.7940074906367092E-2</v>
      </c>
      <c r="AO18" s="63">
        <f t="shared" si="7"/>
        <v>-9.4574780058651053E-2</v>
      </c>
      <c r="AP18" s="23">
        <f t="shared" si="7"/>
        <v>-9.4574780058651053E-2</v>
      </c>
      <c r="AQ18" s="64">
        <f t="shared" si="7"/>
        <v>-0.12037708484408993</v>
      </c>
      <c r="AR18" s="64">
        <f t="shared" si="7"/>
        <v>-0.10597014925373138</v>
      </c>
      <c r="AS18" s="64">
        <f t="shared" si="7"/>
        <v>-6.2155782848151042E-2</v>
      </c>
      <c r="AT18" s="63">
        <f t="shared" si="7"/>
        <v>-4.3724696356275294E-2</v>
      </c>
      <c r="AU18" s="23">
        <f t="shared" si="7"/>
        <v>-4.3724696356275294E-2</v>
      </c>
      <c r="AV18" s="64">
        <f t="shared" si="7"/>
        <v>-3.8746908491343768E-2</v>
      </c>
      <c r="AW18" s="64">
        <f t="shared" si="7"/>
        <v>-4.090150250417357E-2</v>
      </c>
      <c r="AX18" s="64">
        <f t="shared" si="7"/>
        <v>-5.7046979865771785E-2</v>
      </c>
      <c r="AY18" s="63">
        <f t="shared" si="7"/>
        <v>-6.6045723962743441E-2</v>
      </c>
      <c r="AZ18" s="23">
        <f t="shared" si="7"/>
        <v>-6.6045723962743441E-2</v>
      </c>
      <c r="BA18" s="64">
        <f t="shared" si="7"/>
        <v>-7.461406518010294E-2</v>
      </c>
      <c r="BB18" s="64">
        <f t="shared" si="7"/>
        <v>-7.571801566579639E-2</v>
      </c>
      <c r="BC18" s="64">
        <f t="shared" si="7"/>
        <v>-6.939501779359436E-2</v>
      </c>
      <c r="BD18" s="63">
        <f t="shared" si="7"/>
        <v>-6.6183136899365391E-2</v>
      </c>
      <c r="BE18" s="23">
        <f t="shared" si="7"/>
        <v>-6.6183136899365391E-2</v>
      </c>
      <c r="BF18" s="64">
        <f t="shared" si="7"/>
        <v>-6.302131603336425E-2</v>
      </c>
      <c r="BG18" s="64">
        <f t="shared" si="7"/>
        <v>-5.7438794726930364E-2</v>
      </c>
      <c r="BH18" s="64">
        <f t="shared" si="7"/>
        <v>-5.5449330783938766E-2</v>
      </c>
      <c r="BI18" s="63">
        <f t="shared" si="7"/>
        <v>-4.5631067961165006E-2</v>
      </c>
      <c r="BJ18" s="23">
        <f t="shared" si="7"/>
        <v>-4.5631067961165006E-2</v>
      </c>
      <c r="BK18" s="64">
        <f t="shared" si="7"/>
        <v>-2.8684470820969366E-2</v>
      </c>
      <c r="BL18" s="64">
        <f t="shared" si="7"/>
        <v>-9.9900099900099848E-3</v>
      </c>
      <c r="BM18" s="64">
        <f t="shared" si="7"/>
        <v>7.0850202429149078E-3</v>
      </c>
      <c r="BN18" s="63">
        <f t="shared" si="7"/>
        <v>1.6276703967446515E-2</v>
      </c>
      <c r="BO18" s="23">
        <f t="shared" si="7"/>
        <v>1.6276703967446515E-2</v>
      </c>
      <c r="BP18" s="64">
        <f t="shared" si="7"/>
        <v>1.9348268839103788E-2</v>
      </c>
      <c r="BQ18" s="64">
        <f t="shared" si="7"/>
        <v>1.8163471241170459E-2</v>
      </c>
      <c r="BR18" s="64">
        <f t="shared" si="7"/>
        <v>1.9095477386934734E-2</v>
      </c>
      <c r="BS18" s="63">
        <f>BS16/BN16-1</f>
        <v>2.4024024024023927E-2</v>
      </c>
      <c r="BT18" s="23">
        <f>BT16/BO16-1</f>
        <v>2.4024024024023927E-2</v>
      </c>
    </row>
    <row r="19" spans="1:202">
      <c r="A19" s="62" t="s">
        <v>155</v>
      </c>
      <c r="B19" s="23"/>
      <c r="C19" s="64"/>
      <c r="D19" s="64"/>
      <c r="E19" s="64"/>
      <c r="F19" s="64"/>
      <c r="G19" s="177">
        <f>G16-B16</f>
        <v>42</v>
      </c>
      <c r="H19" s="64"/>
      <c r="I19" s="64"/>
      <c r="J19" s="64"/>
      <c r="K19" s="63"/>
      <c r="L19" s="177">
        <f>L16-G16</f>
        <v>30</v>
      </c>
      <c r="M19" s="64"/>
      <c r="N19" s="64"/>
      <c r="O19" s="64"/>
      <c r="P19" s="63"/>
      <c r="Q19" s="177">
        <f>Q16-L16</f>
        <v>31</v>
      </c>
      <c r="R19" s="64"/>
      <c r="S19" s="64"/>
      <c r="T19" s="64"/>
      <c r="U19" s="63"/>
      <c r="V19" s="289">
        <f>V16-Q16</f>
        <v>45</v>
      </c>
      <c r="W19" s="290"/>
      <c r="X19" s="290"/>
      <c r="Y19" s="290"/>
      <c r="Z19" s="291"/>
      <c r="AA19" s="289">
        <f>AA16-V16</f>
        <v>58</v>
      </c>
      <c r="AB19" s="290"/>
      <c r="AC19" s="290"/>
      <c r="AD19" s="290"/>
      <c r="AE19" s="291"/>
      <c r="AF19" s="289">
        <f>AF16-AA16</f>
        <v>94</v>
      </c>
      <c r="AG19" s="290"/>
      <c r="AH19" s="290"/>
      <c r="AI19" s="290"/>
      <c r="AJ19" s="291"/>
      <c r="AK19" s="289">
        <f>AK16-AF16</f>
        <v>101</v>
      </c>
      <c r="AL19" s="290"/>
      <c r="AM19" s="292">
        <f>AM16-AL16</f>
        <v>-39</v>
      </c>
      <c r="AN19" s="292">
        <f>AN16-AM16</f>
        <v>-69</v>
      </c>
      <c r="AO19" s="292">
        <f>AO16-AN16</f>
        <v>-36</v>
      </c>
      <c r="AP19" s="289">
        <f>AP16-AK16</f>
        <v>-129</v>
      </c>
      <c r="AQ19" s="293">
        <f>AQ16-AO16</f>
        <v>-22</v>
      </c>
      <c r="AR19" s="293">
        <f>AR16-AQ16</f>
        <v>-15</v>
      </c>
      <c r="AS19" s="293">
        <f>AS16-AR16</f>
        <v>-6</v>
      </c>
      <c r="AT19" s="293">
        <f>AT16-AS16</f>
        <v>-11</v>
      </c>
      <c r="AU19" s="289">
        <f>AU16-AP16</f>
        <v>-54</v>
      </c>
      <c r="AV19" s="293">
        <f>AV16-AT16</f>
        <v>-15</v>
      </c>
      <c r="AW19" s="293">
        <f>AW16-AV16</f>
        <v>-17</v>
      </c>
      <c r="AX19" s="293">
        <f>AX16-AW16</f>
        <v>-25</v>
      </c>
      <c r="AY19" s="293">
        <f>AY16-AX16</f>
        <v>-21</v>
      </c>
      <c r="AZ19" s="289">
        <f>AZ16-AU16</f>
        <v>-78</v>
      </c>
      <c r="BA19" s="293">
        <f>BA16-AY16</f>
        <v>-24</v>
      </c>
      <c r="BB19" s="293">
        <f>BB16-BA16</f>
        <v>-17</v>
      </c>
      <c r="BC19" s="293">
        <f>BC16-BB16</f>
        <v>-16</v>
      </c>
      <c r="BD19" s="293">
        <f>BD16-BC16</f>
        <v>-16</v>
      </c>
      <c r="BE19" s="289">
        <f>BE16-AZ16</f>
        <v>-73</v>
      </c>
      <c r="BF19" s="293">
        <f>BF16-BD16</f>
        <v>-19</v>
      </c>
      <c r="BG19" s="293">
        <f>BG16-BF16</f>
        <v>-10</v>
      </c>
      <c r="BH19" s="293">
        <f>BH16-BG16</f>
        <v>-13</v>
      </c>
      <c r="BI19" s="293">
        <f>BI16-BH16</f>
        <v>-5</v>
      </c>
      <c r="BJ19" s="289">
        <f>BJ16-BE16</f>
        <v>-47</v>
      </c>
      <c r="BK19" s="293">
        <f>BK16-BI16</f>
        <v>-1</v>
      </c>
      <c r="BL19" s="293">
        <f>BL16-BK16</f>
        <v>9</v>
      </c>
      <c r="BM19" s="293">
        <f>BM16-BL16</f>
        <v>4</v>
      </c>
      <c r="BN19" s="293">
        <f>BN16-BM16</f>
        <v>4</v>
      </c>
      <c r="BO19" s="289">
        <f>BO16-BJ16</f>
        <v>16</v>
      </c>
      <c r="BP19" s="293">
        <f>BP16-BN16</f>
        <v>2</v>
      </c>
      <c r="BQ19" s="293">
        <f>BQ16-BP16</f>
        <v>8</v>
      </c>
      <c r="BR19" s="293">
        <f>BR16-BQ16</f>
        <v>5</v>
      </c>
      <c r="BS19" s="293">
        <f>BS16-BR16</f>
        <v>9</v>
      </c>
      <c r="BT19" s="289">
        <f>BT16-BO16</f>
        <v>24</v>
      </c>
    </row>
    <row r="20" spans="1:202" ht="8.25" customHeight="1">
      <c r="A20" s="62"/>
      <c r="B20" s="23"/>
      <c r="C20" s="64"/>
      <c r="D20" s="64"/>
      <c r="E20" s="64"/>
      <c r="F20" s="64"/>
      <c r="G20" s="23"/>
      <c r="H20" s="64"/>
      <c r="I20" s="64"/>
      <c r="J20" s="64"/>
      <c r="K20" s="63"/>
      <c r="L20" s="23"/>
      <c r="M20" s="64"/>
      <c r="N20" s="64"/>
      <c r="O20" s="64"/>
      <c r="P20" s="63"/>
      <c r="Q20" s="23"/>
      <c r="R20" s="64"/>
      <c r="S20" s="64"/>
      <c r="T20" s="64"/>
      <c r="U20" s="63"/>
      <c r="V20" s="23"/>
      <c r="W20" s="64"/>
      <c r="X20" s="64"/>
      <c r="Y20" s="64"/>
      <c r="Z20" s="63"/>
      <c r="AA20" s="23"/>
      <c r="AB20" s="64"/>
      <c r="AC20" s="64"/>
      <c r="AD20" s="64"/>
      <c r="AE20" s="63"/>
      <c r="AF20" s="23"/>
      <c r="AG20" s="64"/>
      <c r="AH20" s="64"/>
      <c r="AI20" s="64"/>
      <c r="AJ20" s="63"/>
      <c r="AK20" s="23"/>
      <c r="AL20" s="64"/>
      <c r="AM20" s="64"/>
      <c r="AN20" s="64"/>
      <c r="AO20" s="63"/>
      <c r="AP20" s="23"/>
      <c r="AQ20" s="64"/>
      <c r="AR20" s="64"/>
      <c r="AS20" s="64"/>
      <c r="AT20" s="63"/>
      <c r="AU20" s="23"/>
      <c r="AV20" s="64"/>
      <c r="AW20" s="64"/>
      <c r="AX20" s="64"/>
      <c r="AY20" s="63"/>
      <c r="AZ20" s="23"/>
      <c r="BA20" s="64"/>
      <c r="BB20" s="64"/>
      <c r="BC20" s="64"/>
      <c r="BD20" s="63"/>
      <c r="BE20" s="23"/>
      <c r="BF20" s="64"/>
      <c r="BG20" s="64"/>
      <c r="BH20" s="64"/>
      <c r="BI20" s="63"/>
      <c r="BJ20" s="23"/>
      <c r="BK20" s="64"/>
      <c r="BL20" s="64"/>
      <c r="BM20" s="64"/>
      <c r="BN20" s="63"/>
      <c r="BO20" s="23"/>
      <c r="BP20" s="64"/>
      <c r="BQ20" s="64"/>
      <c r="BR20" s="64"/>
      <c r="BS20" s="63"/>
      <c r="BT20" s="23"/>
    </row>
    <row r="21" spans="1:202" ht="15.75">
      <c r="A21" s="60" t="s">
        <v>115</v>
      </c>
      <c r="B21" s="134" t="s">
        <v>114</v>
      </c>
      <c r="C21" s="73" t="s">
        <v>114</v>
      </c>
      <c r="D21" s="73" t="s">
        <v>114</v>
      </c>
      <c r="E21" s="73" t="s">
        <v>114</v>
      </c>
      <c r="F21" s="73" t="s">
        <v>114</v>
      </c>
      <c r="G21" s="134" t="s">
        <v>114</v>
      </c>
      <c r="H21" s="73" t="s">
        <v>114</v>
      </c>
      <c r="I21" s="73" t="s">
        <v>114</v>
      </c>
      <c r="J21" s="73" t="s">
        <v>114</v>
      </c>
      <c r="K21" s="73" t="s">
        <v>114</v>
      </c>
      <c r="L21" s="134" t="s">
        <v>114</v>
      </c>
      <c r="M21" s="73" t="s">
        <v>114</v>
      </c>
      <c r="N21" s="73" t="s">
        <v>114</v>
      </c>
      <c r="O21" s="73" t="s">
        <v>114</v>
      </c>
      <c r="P21" s="73" t="s">
        <v>114</v>
      </c>
      <c r="Q21" s="134" t="s">
        <v>114</v>
      </c>
      <c r="R21" s="73" t="s">
        <v>114</v>
      </c>
      <c r="S21" s="73" t="s">
        <v>114</v>
      </c>
      <c r="T21" s="73" t="s">
        <v>114</v>
      </c>
      <c r="U21" s="73" t="s">
        <v>114</v>
      </c>
      <c r="V21" s="134" t="s">
        <v>114</v>
      </c>
      <c r="W21" s="73" t="s">
        <v>114</v>
      </c>
      <c r="X21" s="73" t="s">
        <v>114</v>
      </c>
      <c r="Y21" s="73" t="s">
        <v>114</v>
      </c>
      <c r="Z21" s="73" t="s">
        <v>114</v>
      </c>
      <c r="AA21" s="134" t="s">
        <v>114</v>
      </c>
      <c r="AB21" s="133" t="s">
        <v>114</v>
      </c>
      <c r="AC21" s="133" t="s">
        <v>114</v>
      </c>
      <c r="AD21" s="133" t="s">
        <v>114</v>
      </c>
      <c r="AE21" s="133" t="s">
        <v>114</v>
      </c>
      <c r="AF21" s="134" t="s">
        <v>114</v>
      </c>
      <c r="AG21" s="133" t="s">
        <v>114</v>
      </c>
      <c r="AH21" s="133" t="s">
        <v>114</v>
      </c>
      <c r="AI21" s="133" t="s">
        <v>114</v>
      </c>
      <c r="AJ21" s="133" t="s">
        <v>114</v>
      </c>
      <c r="AK21" s="134" t="s">
        <v>114</v>
      </c>
      <c r="AL21" s="61">
        <v>11</v>
      </c>
      <c r="AM21" s="61">
        <v>78</v>
      </c>
      <c r="AN21" s="61">
        <v>177</v>
      </c>
      <c r="AO21" s="61">
        <v>244</v>
      </c>
      <c r="AP21" s="35">
        <v>244</v>
      </c>
      <c r="AQ21" s="61">
        <v>290</v>
      </c>
      <c r="AR21" s="61">
        <v>323</v>
      </c>
      <c r="AS21" s="61">
        <v>347</v>
      </c>
      <c r="AT21" s="61">
        <v>377</v>
      </c>
      <c r="AU21" s="35">
        <v>377</v>
      </c>
      <c r="AV21" s="61">
        <v>414</v>
      </c>
      <c r="AW21" s="61">
        <v>444</v>
      </c>
      <c r="AX21" s="61">
        <v>484</v>
      </c>
      <c r="AY21" s="61">
        <v>532</v>
      </c>
      <c r="AZ21" s="35">
        <v>532</v>
      </c>
      <c r="BA21" s="61">
        <v>574</v>
      </c>
      <c r="BB21" s="61">
        <v>600</v>
      </c>
      <c r="BC21" s="61">
        <v>617</v>
      </c>
      <c r="BD21" s="61">
        <v>626</v>
      </c>
      <c r="BE21" s="35">
        <v>626</v>
      </c>
      <c r="BF21" s="61">
        <v>624</v>
      </c>
      <c r="BG21" s="61">
        <v>612</v>
      </c>
      <c r="BH21" s="61">
        <v>601</v>
      </c>
      <c r="BI21" s="61">
        <f>BJ21</f>
        <v>592</v>
      </c>
      <c r="BJ21" s="35">
        <v>592</v>
      </c>
      <c r="BK21" s="61">
        <v>584</v>
      </c>
      <c r="BL21" s="61">
        <v>580</v>
      </c>
      <c r="BM21" s="61">
        <v>570</v>
      </c>
      <c r="BN21" s="61">
        <f>BO21</f>
        <v>557</v>
      </c>
      <c r="BO21" s="35">
        <v>557</v>
      </c>
      <c r="BP21" s="61">
        <v>539</v>
      </c>
      <c r="BQ21" s="61">
        <v>520</v>
      </c>
      <c r="BR21" s="61">
        <f>502+8</f>
        <v>510</v>
      </c>
      <c r="BS21" s="61">
        <f>BT21</f>
        <v>501</v>
      </c>
      <c r="BT21" s="35">
        <v>501</v>
      </c>
    </row>
    <row r="22" spans="1:202">
      <c r="A22" s="62" t="s">
        <v>7</v>
      </c>
      <c r="B22" s="23"/>
      <c r="C22" s="64"/>
      <c r="D22" s="64"/>
      <c r="E22" s="64"/>
      <c r="F22" s="64"/>
      <c r="G22" s="23"/>
      <c r="H22" s="64"/>
      <c r="I22" s="64"/>
      <c r="J22" s="64"/>
      <c r="K22" s="63"/>
      <c r="L22" s="23"/>
      <c r="M22" s="64"/>
      <c r="N22" s="64"/>
      <c r="O22" s="64"/>
      <c r="P22" s="63"/>
      <c r="Q22" s="23"/>
      <c r="R22" s="64"/>
      <c r="S22" s="64"/>
      <c r="T22" s="64"/>
      <c r="U22" s="63"/>
      <c r="V22" s="23"/>
      <c r="W22" s="64"/>
      <c r="X22" s="64"/>
      <c r="Y22" s="64"/>
      <c r="Z22" s="63"/>
      <c r="AA22" s="23"/>
      <c r="AB22" s="64"/>
      <c r="AC22" s="64"/>
      <c r="AD22" s="64"/>
      <c r="AE22" s="63"/>
      <c r="AF22" s="23"/>
      <c r="AG22" s="64"/>
      <c r="AH22" s="64"/>
      <c r="AI22" s="64"/>
      <c r="AJ22" s="63"/>
      <c r="AK22" s="23"/>
      <c r="AL22" s="64"/>
      <c r="AM22" s="63">
        <f>AM21/AL21-1</f>
        <v>6.0909090909090908</v>
      </c>
      <c r="AN22" s="63">
        <f>AN21/AM21-1</f>
        <v>1.2692307692307692</v>
      </c>
      <c r="AO22" s="63">
        <f>AO21/AN21-1</f>
        <v>0.37853107344632764</v>
      </c>
      <c r="AP22" s="23"/>
      <c r="AQ22" s="63">
        <f>AQ21/AO21-1</f>
        <v>0.18852459016393452</v>
      </c>
      <c r="AR22" s="63">
        <f>AR21/AQ21-1</f>
        <v>0.11379310344827576</v>
      </c>
      <c r="AS22" s="63">
        <f>AS21/AR21-1</f>
        <v>7.4303405572755388E-2</v>
      </c>
      <c r="AT22" s="63">
        <f>AT21/AS21-1</f>
        <v>8.6455331412103709E-2</v>
      </c>
      <c r="AU22" s="23"/>
      <c r="AV22" s="63">
        <f>AV21/AT21-1</f>
        <v>9.8143236074270668E-2</v>
      </c>
      <c r="AW22" s="63">
        <f>AW21/AV21-1</f>
        <v>7.2463768115942129E-2</v>
      </c>
      <c r="AX22" s="63">
        <f>AX21/AW21-1</f>
        <v>9.0090090090090058E-2</v>
      </c>
      <c r="AY22" s="63">
        <f>AY21/AX21-1</f>
        <v>9.9173553719008156E-2</v>
      </c>
      <c r="AZ22" s="23"/>
      <c r="BA22" s="63">
        <f>BA21/AY21-1</f>
        <v>7.8947368421052655E-2</v>
      </c>
      <c r="BB22" s="63">
        <f>BB21/BA21-1</f>
        <v>4.5296167247386832E-2</v>
      </c>
      <c r="BC22" s="63">
        <f>BC21/BB21-1</f>
        <v>2.8333333333333321E-2</v>
      </c>
      <c r="BD22" s="63">
        <f>BD21/BC21-1</f>
        <v>1.4586709886547755E-2</v>
      </c>
      <c r="BE22" s="23"/>
      <c r="BF22" s="63">
        <f>BF21/BD21-1</f>
        <v>-3.1948881789137795E-3</v>
      </c>
      <c r="BG22" s="63">
        <f>BG21/BF21-1</f>
        <v>-1.9230769230769273E-2</v>
      </c>
      <c r="BH22" s="63">
        <f>BH21/BG21-1</f>
        <v>-1.7973856209150374E-2</v>
      </c>
      <c r="BI22" s="63">
        <f>BI21/BH21-1</f>
        <v>-1.4975041597337757E-2</v>
      </c>
      <c r="BJ22" s="23"/>
      <c r="BK22" s="63">
        <f>BK21/BI21-1</f>
        <v>-1.3513513513513487E-2</v>
      </c>
      <c r="BL22" s="63">
        <f>BL21/BK21-1</f>
        <v>-6.8493150684931781E-3</v>
      </c>
      <c r="BM22" s="63">
        <f>BM21/BL21-1</f>
        <v>-1.7241379310344862E-2</v>
      </c>
      <c r="BN22" s="63">
        <f>BN21/BM21-1</f>
        <v>-2.2807017543859609E-2</v>
      </c>
      <c r="BO22" s="23"/>
      <c r="BP22" s="63">
        <f>BP21/BN21-1</f>
        <v>-3.2315978456014416E-2</v>
      </c>
      <c r="BQ22" s="63">
        <f>BQ21/BP21-1</f>
        <v>-3.5250463821892342E-2</v>
      </c>
      <c r="BR22" s="63">
        <f>BR21/BQ21-1</f>
        <v>-1.9230769230769273E-2</v>
      </c>
      <c r="BS22" s="63">
        <f>BS21/BR21-1</f>
        <v>-1.764705882352946E-2</v>
      </c>
      <c r="BT22" s="23"/>
    </row>
    <row r="23" spans="1:202">
      <c r="A23" s="62" t="s">
        <v>8</v>
      </c>
      <c r="B23" s="23"/>
      <c r="C23" s="64"/>
      <c r="D23" s="64"/>
      <c r="E23" s="64"/>
      <c r="F23" s="64"/>
      <c r="G23" s="23"/>
      <c r="H23" s="64"/>
      <c r="I23" s="64"/>
      <c r="J23" s="64"/>
      <c r="K23" s="63"/>
      <c r="L23" s="23"/>
      <c r="M23" s="64"/>
      <c r="N23" s="64"/>
      <c r="O23" s="64"/>
      <c r="P23" s="63"/>
      <c r="Q23" s="23"/>
      <c r="R23" s="64"/>
      <c r="S23" s="64"/>
      <c r="T23" s="64"/>
      <c r="U23" s="63"/>
      <c r="V23" s="23"/>
      <c r="W23" s="64"/>
      <c r="X23" s="64"/>
      <c r="Y23" s="64"/>
      <c r="Z23" s="63"/>
      <c r="AA23" s="23"/>
      <c r="AB23" s="64"/>
      <c r="AC23" s="64"/>
      <c r="AD23" s="64"/>
      <c r="AE23" s="63"/>
      <c r="AF23" s="23"/>
      <c r="AG23" s="64"/>
      <c r="AH23" s="64"/>
      <c r="AI23" s="64"/>
      <c r="AJ23" s="63"/>
      <c r="AK23" s="23"/>
      <c r="AL23" s="64"/>
      <c r="AM23" s="64"/>
      <c r="AN23" s="64"/>
      <c r="AO23" s="63"/>
      <c r="AP23" s="23"/>
      <c r="AQ23" s="64">
        <f>AQ21/AL21-1</f>
        <v>25.363636363636363</v>
      </c>
      <c r="AR23" s="64">
        <f>AR21/AM21-1</f>
        <v>3.1410256410256414</v>
      </c>
      <c r="AS23" s="64">
        <f>AS21/AN21-1</f>
        <v>0.96045197740112997</v>
      </c>
      <c r="AT23" s="63"/>
      <c r="AU23" s="23">
        <f>AU21/AP21-1</f>
        <v>0.54508196721311486</v>
      </c>
      <c r="AV23" s="64">
        <f t="shared" ref="AV23:BC23" si="8">AV21/AQ21-1</f>
        <v>0.42758620689655169</v>
      </c>
      <c r="AW23" s="64">
        <f t="shared" si="8"/>
        <v>0.37461300309597534</v>
      </c>
      <c r="AX23" s="64">
        <f t="shared" si="8"/>
        <v>0.39481268011527382</v>
      </c>
      <c r="AY23" s="63">
        <f t="shared" si="8"/>
        <v>0.41114058355437666</v>
      </c>
      <c r="AZ23" s="23">
        <f>AZ21/AU21-1</f>
        <v>0.41114058355437666</v>
      </c>
      <c r="BA23" s="64">
        <f t="shared" si="8"/>
        <v>0.38647342995169076</v>
      </c>
      <c r="BB23" s="64">
        <f t="shared" si="8"/>
        <v>0.35135135135135132</v>
      </c>
      <c r="BC23" s="64">
        <f t="shared" si="8"/>
        <v>0.27479338842975198</v>
      </c>
      <c r="BD23" s="63">
        <f t="shared" ref="BD23:BT23" si="9">BD21/AY21-1</f>
        <v>0.17669172932330834</v>
      </c>
      <c r="BE23" s="23">
        <f t="shared" si="9"/>
        <v>0.17669172932330834</v>
      </c>
      <c r="BF23" s="64">
        <f t="shared" si="9"/>
        <v>8.710801393728218E-2</v>
      </c>
      <c r="BG23" s="64">
        <f t="shared" si="9"/>
        <v>2.0000000000000018E-2</v>
      </c>
      <c r="BH23" s="64">
        <f t="shared" si="9"/>
        <v>-2.5931928687196071E-2</v>
      </c>
      <c r="BI23" s="63">
        <f t="shared" si="9"/>
        <v>-5.4313099041533586E-2</v>
      </c>
      <c r="BJ23" s="23">
        <f t="shared" si="9"/>
        <v>-5.4313099041533586E-2</v>
      </c>
      <c r="BK23" s="64">
        <f t="shared" si="9"/>
        <v>-6.4102564102564097E-2</v>
      </c>
      <c r="BL23" s="64">
        <f t="shared" si="9"/>
        <v>-5.2287581699346442E-2</v>
      </c>
      <c r="BM23" s="64">
        <f t="shared" si="9"/>
        <v>-5.1580698835274497E-2</v>
      </c>
      <c r="BN23" s="63">
        <f t="shared" si="9"/>
        <v>-5.9121621621621601E-2</v>
      </c>
      <c r="BO23" s="23">
        <f t="shared" si="9"/>
        <v>-5.9121621621621601E-2</v>
      </c>
      <c r="BP23" s="64">
        <f t="shared" si="9"/>
        <v>-7.7054794520547976E-2</v>
      </c>
      <c r="BQ23" s="64">
        <f t="shared" si="9"/>
        <v>-0.10344827586206895</v>
      </c>
      <c r="BR23" s="64">
        <f t="shared" si="9"/>
        <v>-0.10526315789473684</v>
      </c>
      <c r="BS23" s="63">
        <f t="shared" si="9"/>
        <v>-0.10053859964093359</v>
      </c>
      <c r="BT23" s="23">
        <f t="shared" si="9"/>
        <v>-0.10053859964093359</v>
      </c>
    </row>
    <row r="24" spans="1:202">
      <c r="A24" s="62" t="s">
        <v>155</v>
      </c>
      <c r="B24" s="23"/>
      <c r="C24" s="64"/>
      <c r="D24" s="64"/>
      <c r="E24" s="64"/>
      <c r="F24" s="64"/>
      <c r="G24" s="23"/>
      <c r="H24" s="64"/>
      <c r="I24" s="64"/>
      <c r="J24" s="64"/>
      <c r="K24" s="63"/>
      <c r="L24" s="23"/>
      <c r="M24" s="64"/>
      <c r="N24" s="64"/>
      <c r="O24" s="64"/>
      <c r="P24" s="63"/>
      <c r="Q24" s="23"/>
      <c r="R24" s="64"/>
      <c r="S24" s="64"/>
      <c r="T24" s="64"/>
      <c r="U24" s="63"/>
      <c r="V24" s="23"/>
      <c r="W24" s="64"/>
      <c r="X24" s="64"/>
      <c r="Y24" s="64"/>
      <c r="Z24" s="63"/>
      <c r="AA24" s="23"/>
      <c r="AB24" s="64"/>
      <c r="AC24" s="64"/>
      <c r="AD24" s="64"/>
      <c r="AE24" s="63"/>
      <c r="AF24" s="23"/>
      <c r="AG24" s="64"/>
      <c r="AH24" s="64"/>
      <c r="AI24" s="64"/>
      <c r="AJ24" s="63"/>
      <c r="AK24" s="23"/>
      <c r="AL24" s="64"/>
      <c r="AM24" s="174">
        <f>AM21-AL21</f>
        <v>67</v>
      </c>
      <c r="AN24" s="174">
        <f>AN21-AM21</f>
        <v>99</v>
      </c>
      <c r="AO24" s="174">
        <f>AO21-AN21</f>
        <v>67</v>
      </c>
      <c r="AP24" s="175"/>
      <c r="AQ24" s="176">
        <f>AQ21-AO21</f>
        <v>46</v>
      </c>
      <c r="AR24" s="176">
        <f>AR21-AQ21</f>
        <v>33</v>
      </c>
      <c r="AS24" s="176">
        <f>AS21-AR21</f>
        <v>24</v>
      </c>
      <c r="AT24" s="176">
        <f>AT21-AS21</f>
        <v>30</v>
      </c>
      <c r="AU24" s="289">
        <f>AU21-AP21</f>
        <v>133</v>
      </c>
      <c r="AV24" s="293">
        <f>AV21-AT21</f>
        <v>37</v>
      </c>
      <c r="AW24" s="293">
        <f>AW21-AV21</f>
        <v>30</v>
      </c>
      <c r="AX24" s="293">
        <f>AX21-AW21</f>
        <v>40</v>
      </c>
      <c r="AY24" s="293">
        <f>AY21-AX21</f>
        <v>48</v>
      </c>
      <c r="AZ24" s="289">
        <f>AZ21-AU21</f>
        <v>155</v>
      </c>
      <c r="BA24" s="293">
        <f>BA21-AY21</f>
        <v>42</v>
      </c>
      <c r="BB24" s="293">
        <f>BB21-BA21</f>
        <v>26</v>
      </c>
      <c r="BC24" s="293">
        <f>BC21-BB21</f>
        <v>17</v>
      </c>
      <c r="BD24" s="293">
        <f>BD21-BC21</f>
        <v>9</v>
      </c>
      <c r="BE24" s="289">
        <f>BE21-AZ21</f>
        <v>94</v>
      </c>
      <c r="BF24" s="293">
        <f>BF21-BD21</f>
        <v>-2</v>
      </c>
      <c r="BG24" s="293">
        <f>BG21-BF21</f>
        <v>-12</v>
      </c>
      <c r="BH24" s="293">
        <f>BH21-BG21</f>
        <v>-11</v>
      </c>
      <c r="BI24" s="293">
        <f>BI21-BH21</f>
        <v>-9</v>
      </c>
      <c r="BJ24" s="289">
        <f>BJ21-BE21</f>
        <v>-34</v>
      </c>
      <c r="BK24" s="293">
        <f>BK21-BI21</f>
        <v>-8</v>
      </c>
      <c r="BL24" s="293">
        <f>BL21-BK21</f>
        <v>-4</v>
      </c>
      <c r="BM24" s="293">
        <f>BM21-BL21</f>
        <v>-10</v>
      </c>
      <c r="BN24" s="293">
        <f>BN21-BM21</f>
        <v>-13</v>
      </c>
      <c r="BO24" s="289">
        <f>BO21-BJ21</f>
        <v>-35</v>
      </c>
      <c r="BP24" s="293">
        <f>BP21-BN21</f>
        <v>-18</v>
      </c>
      <c r="BQ24" s="293">
        <f>BQ21-BP21</f>
        <v>-19</v>
      </c>
      <c r="BR24" s="293">
        <f>BR21-BQ21</f>
        <v>-10</v>
      </c>
      <c r="BS24" s="293">
        <f>BS21-BR21</f>
        <v>-9</v>
      </c>
      <c r="BT24" s="289">
        <f>BT21-BO21</f>
        <v>-56</v>
      </c>
      <c r="BU24" s="294"/>
      <c r="BV24" s="294"/>
      <c r="BW24" s="294"/>
      <c r="BX24" s="294"/>
    </row>
    <row r="25" spans="1:202">
      <c r="A25" s="62" t="s">
        <v>202</v>
      </c>
      <c r="B25" s="23"/>
      <c r="C25" s="64"/>
      <c r="D25" s="64"/>
      <c r="E25" s="64"/>
      <c r="F25" s="64"/>
      <c r="G25" s="23"/>
      <c r="H25" s="64"/>
      <c r="I25" s="64"/>
      <c r="J25" s="64"/>
      <c r="K25" s="63"/>
      <c r="L25" s="23"/>
      <c r="M25" s="64"/>
      <c r="N25" s="64"/>
      <c r="O25" s="64"/>
      <c r="P25" s="63"/>
      <c r="Q25" s="23"/>
      <c r="R25" s="64"/>
      <c r="S25" s="64"/>
      <c r="T25" s="64"/>
      <c r="U25" s="63"/>
      <c r="V25" s="23"/>
      <c r="W25" s="64"/>
      <c r="X25" s="64"/>
      <c r="Y25" s="64"/>
      <c r="Z25" s="63"/>
      <c r="AA25" s="23"/>
      <c r="AB25" s="64"/>
      <c r="AC25" s="64"/>
      <c r="AD25" s="64"/>
      <c r="AE25" s="63"/>
      <c r="AF25" s="23"/>
      <c r="AG25" s="64"/>
      <c r="AH25" s="64"/>
      <c r="AI25" s="64"/>
      <c r="AJ25" s="63"/>
      <c r="AK25" s="23"/>
      <c r="AL25" s="178">
        <f t="shared" ref="AL25:BQ25" si="10">AL21/AL11</f>
        <v>7.9136690647482015E-3</v>
      </c>
      <c r="AM25" s="178">
        <f t="shared" si="10"/>
        <v>5.5007052186177713E-2</v>
      </c>
      <c r="AN25" s="178">
        <f t="shared" si="10"/>
        <v>0.12223756906077347</v>
      </c>
      <c r="AO25" s="178">
        <f t="shared" si="10"/>
        <v>0.1649763353617309</v>
      </c>
      <c r="AP25" s="179">
        <f t="shared" si="10"/>
        <v>0.1649763353617309</v>
      </c>
      <c r="AQ25" s="178">
        <f t="shared" si="10"/>
        <v>0.19294743845642048</v>
      </c>
      <c r="AR25" s="178">
        <f t="shared" si="10"/>
        <v>0.2123602892833662</v>
      </c>
      <c r="AS25" s="178">
        <f t="shared" si="10"/>
        <v>0.22547108512020791</v>
      </c>
      <c r="AT25" s="178">
        <f t="shared" si="10"/>
        <v>0.24197689345314505</v>
      </c>
      <c r="AU25" s="295">
        <f t="shared" si="10"/>
        <v>0.24197689345314505</v>
      </c>
      <c r="AV25" s="296">
        <f t="shared" si="10"/>
        <v>0.26202531645569621</v>
      </c>
      <c r="AW25" s="296">
        <f t="shared" si="10"/>
        <v>0.27871939736346518</v>
      </c>
      <c r="AX25" s="296">
        <f t="shared" si="10"/>
        <v>0.30099502487562191</v>
      </c>
      <c r="AY25" s="296">
        <f t="shared" si="10"/>
        <v>0.3253822629969419</v>
      </c>
      <c r="AZ25" s="295">
        <f t="shared" si="10"/>
        <v>0.3253822629969419</v>
      </c>
      <c r="BA25" s="296">
        <f t="shared" si="10"/>
        <v>0.3472474289171204</v>
      </c>
      <c r="BB25" s="296">
        <f t="shared" si="10"/>
        <v>0.36101083032490977</v>
      </c>
      <c r="BC25" s="296">
        <f t="shared" si="10"/>
        <v>0.37101623571858089</v>
      </c>
      <c r="BD25" s="296">
        <f t="shared" si="10"/>
        <v>0.3780193236714976</v>
      </c>
      <c r="BE25" s="295">
        <f t="shared" si="10"/>
        <v>0.3780193236714976</v>
      </c>
      <c r="BF25" s="296">
        <f t="shared" si="10"/>
        <v>0.38165137614678901</v>
      </c>
      <c r="BG25" s="296">
        <f t="shared" si="10"/>
        <v>0.37941723496590207</v>
      </c>
      <c r="BH25" s="296">
        <f t="shared" si="10"/>
        <v>0.37822529893014473</v>
      </c>
      <c r="BI25" s="296">
        <f t="shared" si="10"/>
        <v>0.37587301587301586</v>
      </c>
      <c r="BJ25" s="295">
        <f t="shared" si="10"/>
        <v>0.37587301587301586</v>
      </c>
      <c r="BK25" s="296">
        <f t="shared" si="10"/>
        <v>0.37292464878671777</v>
      </c>
      <c r="BL25" s="296">
        <f t="shared" si="10"/>
        <v>0.36919159770846594</v>
      </c>
      <c r="BM25" s="296">
        <f t="shared" si="10"/>
        <v>0.36421725239616615</v>
      </c>
      <c r="BN25" s="296">
        <f t="shared" si="10"/>
        <v>0.35796915167095117</v>
      </c>
      <c r="BO25" s="295">
        <f t="shared" si="10"/>
        <v>0.35796915167095117</v>
      </c>
      <c r="BP25" s="296">
        <f t="shared" si="10"/>
        <v>0.35</v>
      </c>
      <c r="BQ25" s="296">
        <f t="shared" si="10"/>
        <v>0.34009156311314587</v>
      </c>
      <c r="BR25" s="296">
        <f>BR21/BR11</f>
        <v>0.3346456692913386</v>
      </c>
      <c r="BS25" s="296">
        <f>BS21/BS11</f>
        <v>0.32874015748031499</v>
      </c>
      <c r="BT25" s="295">
        <f>BT21/BT11</f>
        <v>0.32874015748031499</v>
      </c>
      <c r="BU25" s="294"/>
      <c r="BV25" s="294"/>
      <c r="BW25" s="294"/>
      <c r="BX25" s="294"/>
    </row>
    <row r="26" spans="1:202" ht="6" customHeight="1">
      <c r="A26" s="62"/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23"/>
      <c r="W26" s="64"/>
      <c r="X26" s="64"/>
      <c r="Y26" s="64"/>
      <c r="Z26" s="63"/>
      <c r="AA26" s="23"/>
      <c r="AB26" s="64"/>
      <c r="AC26" s="64"/>
      <c r="AD26" s="64"/>
      <c r="AE26" s="63"/>
      <c r="AF26" s="23"/>
      <c r="AG26" s="64"/>
      <c r="AH26" s="64"/>
      <c r="AI26" s="64"/>
      <c r="AJ26" s="63"/>
      <c r="AK26" s="23"/>
      <c r="AL26" s="64"/>
      <c r="AM26" s="64"/>
      <c r="AN26" s="64"/>
      <c r="AO26" s="63"/>
      <c r="AP26" s="23"/>
      <c r="AQ26" s="64"/>
      <c r="AR26" s="64"/>
      <c r="AS26" s="64"/>
      <c r="AT26" s="63"/>
      <c r="AU26" s="23"/>
      <c r="AV26" s="64"/>
      <c r="AW26" s="64"/>
      <c r="AX26" s="64"/>
      <c r="AY26" s="63"/>
      <c r="AZ26" s="23"/>
      <c r="BA26" s="64"/>
      <c r="BB26" s="64"/>
      <c r="BC26" s="64"/>
      <c r="BD26" s="63"/>
      <c r="BE26" s="23"/>
      <c r="BF26" s="64"/>
      <c r="BG26" s="64"/>
      <c r="BH26" s="64"/>
      <c r="BI26" s="63"/>
      <c r="BJ26" s="23"/>
      <c r="BK26" s="64"/>
      <c r="BL26" s="64"/>
      <c r="BM26" s="64"/>
      <c r="BN26" s="63"/>
      <c r="BO26" s="23"/>
      <c r="BP26" s="64"/>
      <c r="BQ26" s="64"/>
      <c r="BR26" s="64"/>
      <c r="BS26" s="63"/>
      <c r="BT26" s="23"/>
    </row>
    <row r="27" spans="1:202" s="2" customFormat="1">
      <c r="A27" s="60" t="s">
        <v>117</v>
      </c>
      <c r="B27" s="55">
        <v>64</v>
      </c>
      <c r="C27" s="66">
        <v>68</v>
      </c>
      <c r="D27" s="66">
        <v>66</v>
      </c>
      <c r="E27" s="66">
        <v>67</v>
      </c>
      <c r="F27" s="66">
        <v>66</v>
      </c>
      <c r="G27" s="55">
        <v>67</v>
      </c>
      <c r="H27" s="66">
        <v>67</v>
      </c>
      <c r="I27" s="66">
        <v>67</v>
      </c>
      <c r="J27" s="66">
        <v>70</v>
      </c>
      <c r="K27" s="61">
        <v>70</v>
      </c>
      <c r="L27" s="27">
        <v>69</v>
      </c>
      <c r="M27" s="66">
        <v>73</v>
      </c>
      <c r="N27" s="66">
        <v>72</v>
      </c>
      <c r="O27" s="66">
        <v>76</v>
      </c>
      <c r="P27" s="61">
        <v>78</v>
      </c>
      <c r="Q27" s="27">
        <v>75</v>
      </c>
      <c r="R27" s="66">
        <v>79</v>
      </c>
      <c r="S27" s="66">
        <v>80</v>
      </c>
      <c r="T27" s="66">
        <v>81</v>
      </c>
      <c r="U27" s="61">
        <v>81</v>
      </c>
      <c r="V27" s="27">
        <v>80</v>
      </c>
      <c r="W27" s="66">
        <v>84</v>
      </c>
      <c r="X27" s="66">
        <v>80</v>
      </c>
      <c r="Y27" s="66">
        <v>80</v>
      </c>
      <c r="Z27" s="61">
        <v>80</v>
      </c>
      <c r="AA27" s="27">
        <v>81</v>
      </c>
      <c r="AB27" s="66">
        <v>83</v>
      </c>
      <c r="AC27" s="66">
        <v>85</v>
      </c>
      <c r="AD27" s="66">
        <v>86</v>
      </c>
      <c r="AE27" s="61">
        <v>82</v>
      </c>
      <c r="AF27" s="27">
        <v>84</v>
      </c>
      <c r="AG27" s="66">
        <v>82</v>
      </c>
      <c r="AH27" s="66">
        <v>84</v>
      </c>
      <c r="AI27" s="66">
        <v>85</v>
      </c>
      <c r="AJ27" s="61">
        <v>85</v>
      </c>
      <c r="AK27" s="27">
        <v>84</v>
      </c>
      <c r="AL27" s="66">
        <v>87</v>
      </c>
      <c r="AM27" s="66">
        <v>88</v>
      </c>
      <c r="AN27" s="66">
        <v>88</v>
      </c>
      <c r="AO27" s="61">
        <v>88</v>
      </c>
      <c r="AP27" s="27">
        <v>88</v>
      </c>
      <c r="AQ27" s="66">
        <v>90</v>
      </c>
      <c r="AR27" s="66">
        <v>90</v>
      </c>
      <c r="AS27" s="66">
        <v>88</v>
      </c>
      <c r="AT27" s="61">
        <v>90</v>
      </c>
      <c r="AU27" s="27">
        <v>89</v>
      </c>
      <c r="AV27" s="66">
        <v>90</v>
      </c>
      <c r="AW27" s="66">
        <v>90</v>
      </c>
      <c r="AX27" s="66">
        <v>90</v>
      </c>
      <c r="AY27" s="61">
        <v>92</v>
      </c>
      <c r="AZ27" s="27">
        <v>90</v>
      </c>
      <c r="BA27" s="66">
        <v>92</v>
      </c>
      <c r="BB27" s="66">
        <v>93</v>
      </c>
      <c r="BC27" s="66">
        <v>93</v>
      </c>
      <c r="BD27" s="61">
        <v>96</v>
      </c>
      <c r="BE27" s="27">
        <v>93</v>
      </c>
      <c r="BF27" s="66">
        <v>96</v>
      </c>
      <c r="BG27" s="66">
        <v>97</v>
      </c>
      <c r="BH27" s="66">
        <v>98</v>
      </c>
      <c r="BI27" s="61">
        <v>98</v>
      </c>
      <c r="BJ27" s="27">
        <v>97</v>
      </c>
      <c r="BK27" s="66">
        <v>98</v>
      </c>
      <c r="BL27" s="66">
        <v>98</v>
      </c>
      <c r="BM27" s="66">
        <v>100</v>
      </c>
      <c r="BN27" s="61">
        <v>102</v>
      </c>
      <c r="BO27" s="27">
        <v>99</v>
      </c>
      <c r="BP27" s="66">
        <v>103</v>
      </c>
      <c r="BQ27" s="66">
        <v>106</v>
      </c>
      <c r="BR27" s="66">
        <v>107</v>
      </c>
      <c r="BS27" s="61">
        <v>109</v>
      </c>
      <c r="BT27" s="27">
        <v>106</v>
      </c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</row>
    <row r="28" spans="1:202">
      <c r="A28" s="62" t="s">
        <v>7</v>
      </c>
      <c r="B28" s="23"/>
      <c r="C28" s="63"/>
      <c r="D28" s="63">
        <f>D27/C27-1</f>
        <v>-2.9411764705882359E-2</v>
      </c>
      <c r="E28" s="63">
        <f>E27/D27-1</f>
        <v>1.5151515151515138E-2</v>
      </c>
      <c r="F28" s="63">
        <f>F27/E27-1</f>
        <v>-1.4925373134328401E-2</v>
      </c>
      <c r="G28" s="23"/>
      <c r="H28" s="63">
        <f>H27/F27-1</f>
        <v>1.5151515151515138E-2</v>
      </c>
      <c r="I28" s="63">
        <f>I27/H27-1</f>
        <v>0</v>
      </c>
      <c r="J28" s="63">
        <f>J27/I27-1</f>
        <v>4.4776119402984982E-2</v>
      </c>
      <c r="K28" s="63">
        <f>K27/J27-1</f>
        <v>0</v>
      </c>
      <c r="L28" s="26"/>
      <c r="M28" s="63">
        <f>M27/K27-1</f>
        <v>4.2857142857142927E-2</v>
      </c>
      <c r="N28" s="63">
        <f>N27/M27-1</f>
        <v>-1.3698630136986356E-2</v>
      </c>
      <c r="O28" s="63">
        <f>O27/N27-1</f>
        <v>5.555555555555558E-2</v>
      </c>
      <c r="P28" s="63">
        <f>P27/O27-1</f>
        <v>2.6315789473684292E-2</v>
      </c>
      <c r="Q28" s="26"/>
      <c r="R28" s="63">
        <f>R27/P27-1</f>
        <v>1.2820512820512775E-2</v>
      </c>
      <c r="S28" s="63">
        <f>S27/R27-1</f>
        <v>1.2658227848101333E-2</v>
      </c>
      <c r="T28" s="63">
        <f>T27/S27-1</f>
        <v>1.2499999999999956E-2</v>
      </c>
      <c r="U28" s="63">
        <f>U27/T27-1</f>
        <v>0</v>
      </c>
      <c r="V28" s="26"/>
      <c r="W28" s="63">
        <f>W27/U27-1</f>
        <v>3.7037037037036979E-2</v>
      </c>
      <c r="X28" s="63">
        <f>X27/W27-1</f>
        <v>-4.7619047619047672E-2</v>
      </c>
      <c r="Y28" s="63">
        <f>Y27/X27-1</f>
        <v>0</v>
      </c>
      <c r="Z28" s="63">
        <f>Z27/Y27-1</f>
        <v>0</v>
      </c>
      <c r="AA28" s="26"/>
      <c r="AB28" s="63">
        <f>AB27/Z27-1</f>
        <v>3.7500000000000089E-2</v>
      </c>
      <c r="AC28" s="63">
        <f>AC27/AB27-1</f>
        <v>2.4096385542168752E-2</v>
      </c>
      <c r="AD28" s="63">
        <f>AD27/AC27-1</f>
        <v>1.1764705882352899E-2</v>
      </c>
      <c r="AE28" s="63">
        <f>AE27/AD27-1</f>
        <v>-4.6511627906976716E-2</v>
      </c>
      <c r="AF28" s="26"/>
      <c r="AG28" s="63">
        <f>AG27/AE27-1</f>
        <v>0</v>
      </c>
      <c r="AH28" s="63">
        <f>AH27/AG27-1</f>
        <v>2.4390243902439046E-2</v>
      </c>
      <c r="AI28" s="63">
        <f>AI27/AH27-1</f>
        <v>1.1904761904761862E-2</v>
      </c>
      <c r="AJ28" s="63">
        <f>AJ27/AI27-1</f>
        <v>0</v>
      </c>
      <c r="AK28" s="26"/>
      <c r="AL28" s="63">
        <f>AL27/AJ27-1</f>
        <v>2.3529411764705799E-2</v>
      </c>
      <c r="AM28" s="63">
        <f>AM27/AL27-1</f>
        <v>1.1494252873563315E-2</v>
      </c>
      <c r="AN28" s="63">
        <f>AN27/AM27-1</f>
        <v>0</v>
      </c>
      <c r="AO28" s="63">
        <f>AO27/AN27-1</f>
        <v>0</v>
      </c>
      <c r="AP28" s="26"/>
      <c r="AQ28" s="63">
        <f>AQ27/AO27-1</f>
        <v>2.2727272727272707E-2</v>
      </c>
      <c r="AR28" s="63">
        <f>AR27/AQ27-1</f>
        <v>0</v>
      </c>
      <c r="AS28" s="63">
        <f>AS27/AR27-1</f>
        <v>-2.2222222222222254E-2</v>
      </c>
      <c r="AT28" s="63">
        <f>AT27/AS27-1</f>
        <v>2.2727272727272707E-2</v>
      </c>
      <c r="AU28" s="26"/>
      <c r="AV28" s="63">
        <f>AV27/AT27-1</f>
        <v>0</v>
      </c>
      <c r="AW28" s="63">
        <f>AW27/AV27-1</f>
        <v>0</v>
      </c>
      <c r="AX28" s="63">
        <f>AX27/AW27-1</f>
        <v>0</v>
      </c>
      <c r="AY28" s="63">
        <f>AY27/AX27-1</f>
        <v>2.2222222222222143E-2</v>
      </c>
      <c r="AZ28" s="26"/>
      <c r="BA28" s="63">
        <f>BA27/AY27-1</f>
        <v>0</v>
      </c>
      <c r="BB28" s="63">
        <f>BB27/BA27-1</f>
        <v>1.0869565217391353E-2</v>
      </c>
      <c r="BC28" s="63">
        <f>BC27/BB27-1</f>
        <v>0</v>
      </c>
      <c r="BD28" s="63">
        <f>BD27/BC27-1</f>
        <v>3.2258064516129004E-2</v>
      </c>
      <c r="BE28" s="26"/>
      <c r="BF28" s="63">
        <f>BF27/BD27-1</f>
        <v>0</v>
      </c>
      <c r="BG28" s="63">
        <f>BG27/BF27-1</f>
        <v>1.0416666666666741E-2</v>
      </c>
      <c r="BH28" s="63">
        <f>BH27/BG27-1</f>
        <v>1.0309278350515427E-2</v>
      </c>
      <c r="BI28" s="63">
        <f>BI27/BH27-1</f>
        <v>0</v>
      </c>
      <c r="BJ28" s="26"/>
      <c r="BK28" s="63">
        <f>BK27/BI27-1</f>
        <v>0</v>
      </c>
      <c r="BL28" s="63">
        <f>BL27/BK27-1</f>
        <v>0</v>
      </c>
      <c r="BM28" s="63">
        <f>BM27/BL27-1</f>
        <v>2.0408163265306145E-2</v>
      </c>
      <c r="BN28" s="63">
        <f>BN27/BM27-1</f>
        <v>2.0000000000000018E-2</v>
      </c>
      <c r="BO28" s="26"/>
      <c r="BP28" s="63">
        <f>BP27/BN27-1</f>
        <v>9.8039215686274161E-3</v>
      </c>
      <c r="BQ28" s="63">
        <f>BQ27/BP27-1</f>
        <v>2.9126213592232997E-2</v>
      </c>
      <c r="BR28" s="63">
        <f>BR27/BQ27-1</f>
        <v>9.4339622641510523E-3</v>
      </c>
      <c r="BS28" s="63">
        <f>BS27/BR27-1</f>
        <v>1.8691588785046731E-2</v>
      </c>
      <c r="BT28" s="26"/>
    </row>
    <row r="29" spans="1:202">
      <c r="A29" s="62" t="s">
        <v>8</v>
      </c>
      <c r="B29" s="23"/>
      <c r="C29" s="64"/>
      <c r="D29" s="64"/>
      <c r="E29" s="64"/>
      <c r="F29" s="64"/>
      <c r="G29" s="23">
        <f t="shared" ref="G29:N29" si="11">G27/B27-1</f>
        <v>4.6875E-2</v>
      </c>
      <c r="H29" s="64">
        <f t="shared" si="11"/>
        <v>-1.4705882352941124E-2</v>
      </c>
      <c r="I29" s="64">
        <f t="shared" si="11"/>
        <v>1.5151515151515138E-2</v>
      </c>
      <c r="J29" s="64">
        <f t="shared" si="11"/>
        <v>4.4776119402984982E-2</v>
      </c>
      <c r="K29" s="63">
        <f t="shared" si="11"/>
        <v>6.0606060606060552E-2</v>
      </c>
      <c r="L29" s="23">
        <f t="shared" si="11"/>
        <v>2.9850746268656803E-2</v>
      </c>
      <c r="M29" s="63">
        <f t="shared" si="11"/>
        <v>8.9552238805970186E-2</v>
      </c>
      <c r="N29" s="64">
        <f t="shared" si="11"/>
        <v>7.4626865671641784E-2</v>
      </c>
      <c r="O29" s="64">
        <f t="shared" ref="O29:Y29" si="12">O27/J27-1</f>
        <v>8.5714285714285632E-2</v>
      </c>
      <c r="P29" s="63">
        <f t="shared" si="12"/>
        <v>0.11428571428571432</v>
      </c>
      <c r="Q29" s="23">
        <f t="shared" si="12"/>
        <v>8.6956521739130377E-2</v>
      </c>
      <c r="R29" s="63">
        <f t="shared" si="12"/>
        <v>8.2191780821917915E-2</v>
      </c>
      <c r="S29" s="64">
        <f t="shared" si="12"/>
        <v>0.11111111111111116</v>
      </c>
      <c r="T29" s="64">
        <f t="shared" si="12"/>
        <v>6.578947368421062E-2</v>
      </c>
      <c r="U29" s="63">
        <f t="shared" si="12"/>
        <v>3.8461538461538547E-2</v>
      </c>
      <c r="V29" s="23">
        <f t="shared" si="12"/>
        <v>6.6666666666666652E-2</v>
      </c>
      <c r="W29" s="63">
        <f t="shared" si="12"/>
        <v>6.3291139240506222E-2</v>
      </c>
      <c r="X29" s="64">
        <f t="shared" si="12"/>
        <v>0</v>
      </c>
      <c r="Y29" s="64">
        <f t="shared" si="12"/>
        <v>-1.2345679012345734E-2</v>
      </c>
      <c r="Z29" s="63">
        <f t="shared" ref="Z29:AI29" si="13">Z27/U27-1</f>
        <v>-1.2345679012345734E-2</v>
      </c>
      <c r="AA29" s="23">
        <f t="shared" si="13"/>
        <v>1.2499999999999956E-2</v>
      </c>
      <c r="AB29" s="63">
        <f t="shared" si="13"/>
        <v>-1.1904761904761862E-2</v>
      </c>
      <c r="AC29" s="64">
        <f t="shared" si="13"/>
        <v>6.25E-2</v>
      </c>
      <c r="AD29" s="64">
        <f t="shared" si="13"/>
        <v>7.4999999999999956E-2</v>
      </c>
      <c r="AE29" s="63">
        <f t="shared" si="13"/>
        <v>2.4999999999999911E-2</v>
      </c>
      <c r="AF29" s="23">
        <f t="shared" si="13"/>
        <v>3.7037037037036979E-2</v>
      </c>
      <c r="AG29" s="63">
        <f t="shared" si="13"/>
        <v>-1.2048192771084376E-2</v>
      </c>
      <c r="AH29" s="64">
        <f t="shared" si="13"/>
        <v>-1.1764705882352899E-2</v>
      </c>
      <c r="AI29" s="64">
        <f t="shared" si="13"/>
        <v>-1.1627906976744207E-2</v>
      </c>
      <c r="AJ29" s="63">
        <f t="shared" ref="AJ29:AS29" si="14">AJ27/AE27-1</f>
        <v>3.6585365853658569E-2</v>
      </c>
      <c r="AK29" s="23">
        <f t="shared" si="14"/>
        <v>0</v>
      </c>
      <c r="AL29" s="63">
        <f t="shared" si="14"/>
        <v>6.0975609756097615E-2</v>
      </c>
      <c r="AM29" s="64">
        <f t="shared" si="14"/>
        <v>4.7619047619047672E-2</v>
      </c>
      <c r="AN29" s="64">
        <f t="shared" si="14"/>
        <v>3.529411764705892E-2</v>
      </c>
      <c r="AO29" s="63">
        <f t="shared" si="14"/>
        <v>3.529411764705892E-2</v>
      </c>
      <c r="AP29" s="23">
        <f t="shared" si="14"/>
        <v>4.7619047619047672E-2</v>
      </c>
      <c r="AQ29" s="63">
        <f t="shared" si="14"/>
        <v>3.4482758620689724E-2</v>
      </c>
      <c r="AR29" s="64">
        <f t="shared" si="14"/>
        <v>2.2727272727272707E-2</v>
      </c>
      <c r="AS29" s="64">
        <f t="shared" si="14"/>
        <v>0</v>
      </c>
      <c r="AT29" s="63">
        <f t="shared" ref="AT29:BT29" si="15">AT27/AO27-1</f>
        <v>2.2727272727272707E-2</v>
      </c>
      <c r="AU29" s="23">
        <f t="shared" si="15"/>
        <v>1.1363636363636465E-2</v>
      </c>
      <c r="AV29" s="63">
        <f t="shared" si="15"/>
        <v>0</v>
      </c>
      <c r="AW29" s="64">
        <f t="shared" si="15"/>
        <v>0</v>
      </c>
      <c r="AX29" s="64">
        <f t="shared" si="15"/>
        <v>2.2727272727272707E-2</v>
      </c>
      <c r="AY29" s="63">
        <f t="shared" si="15"/>
        <v>2.2222222222222143E-2</v>
      </c>
      <c r="AZ29" s="23">
        <f t="shared" si="15"/>
        <v>1.1235955056179803E-2</v>
      </c>
      <c r="BA29" s="63">
        <f t="shared" si="15"/>
        <v>2.2222222222222143E-2</v>
      </c>
      <c r="BB29" s="64">
        <f t="shared" si="15"/>
        <v>3.3333333333333437E-2</v>
      </c>
      <c r="BC29" s="64">
        <f t="shared" si="15"/>
        <v>3.3333333333333437E-2</v>
      </c>
      <c r="BD29" s="63">
        <f t="shared" si="15"/>
        <v>4.3478260869565188E-2</v>
      </c>
      <c r="BE29" s="23">
        <f t="shared" si="15"/>
        <v>3.3333333333333437E-2</v>
      </c>
      <c r="BF29" s="63">
        <f t="shared" si="15"/>
        <v>4.3478260869565188E-2</v>
      </c>
      <c r="BG29" s="64">
        <f t="shared" si="15"/>
        <v>4.3010752688172005E-2</v>
      </c>
      <c r="BH29" s="64">
        <f t="shared" si="15"/>
        <v>5.3763440860215006E-2</v>
      </c>
      <c r="BI29" s="63">
        <f t="shared" si="15"/>
        <v>2.0833333333333259E-2</v>
      </c>
      <c r="BJ29" s="23">
        <f t="shared" si="15"/>
        <v>4.3010752688172005E-2</v>
      </c>
      <c r="BK29" s="63">
        <f t="shared" si="15"/>
        <v>2.0833333333333259E-2</v>
      </c>
      <c r="BL29" s="64">
        <f t="shared" si="15"/>
        <v>1.0309278350515427E-2</v>
      </c>
      <c r="BM29" s="64">
        <f t="shared" si="15"/>
        <v>2.0408163265306145E-2</v>
      </c>
      <c r="BN29" s="63">
        <f t="shared" si="15"/>
        <v>4.081632653061229E-2</v>
      </c>
      <c r="BO29" s="23">
        <f t="shared" si="15"/>
        <v>2.0618556701030855E-2</v>
      </c>
      <c r="BP29" s="63">
        <f t="shared" si="15"/>
        <v>5.1020408163265252E-2</v>
      </c>
      <c r="BQ29" s="64">
        <f t="shared" si="15"/>
        <v>8.163265306122458E-2</v>
      </c>
      <c r="BR29" s="64">
        <f t="shared" si="15"/>
        <v>7.0000000000000062E-2</v>
      </c>
      <c r="BS29" s="63">
        <f t="shared" si="15"/>
        <v>6.8627450980392135E-2</v>
      </c>
      <c r="BT29" s="23">
        <f t="shared" si="15"/>
        <v>7.0707070707070718E-2</v>
      </c>
    </row>
    <row r="30" spans="1:202" ht="25.5">
      <c r="A30" s="90" t="s">
        <v>50</v>
      </c>
      <c r="B30" s="87">
        <v>1.7</v>
      </c>
      <c r="C30" s="71">
        <v>1.9</v>
      </c>
      <c r="D30" s="71">
        <v>2</v>
      </c>
      <c r="E30" s="71">
        <v>2.1</v>
      </c>
      <c r="F30" s="71">
        <v>2.2000000000000002</v>
      </c>
      <c r="G30" s="87">
        <v>2.2000000000000002</v>
      </c>
      <c r="H30" s="71">
        <v>2.2999999999999998</v>
      </c>
      <c r="I30" s="71">
        <v>2.4</v>
      </c>
      <c r="J30" s="71">
        <v>2.5</v>
      </c>
      <c r="K30" s="71">
        <v>2.7</v>
      </c>
      <c r="L30" s="88">
        <v>2.7</v>
      </c>
      <c r="M30" s="71">
        <v>3</v>
      </c>
      <c r="N30" s="71">
        <v>3.4</v>
      </c>
      <c r="O30" s="71">
        <v>3.8</v>
      </c>
      <c r="P30" s="71">
        <v>4.3</v>
      </c>
      <c r="Q30" s="88">
        <v>4.3</v>
      </c>
      <c r="R30" s="71">
        <v>4.8</v>
      </c>
      <c r="S30" s="71">
        <v>5.3</v>
      </c>
      <c r="T30" s="71">
        <v>6</v>
      </c>
      <c r="U30" s="71">
        <v>6.7</v>
      </c>
      <c r="V30" s="88">
        <v>6.7</v>
      </c>
      <c r="W30" s="71">
        <v>7.5</v>
      </c>
      <c r="X30" s="71">
        <v>8.3000000000000007</v>
      </c>
      <c r="Y30" s="71">
        <v>9</v>
      </c>
      <c r="Z30" s="71">
        <v>9.6</v>
      </c>
      <c r="AA30" s="88">
        <v>9.6</v>
      </c>
      <c r="AB30" s="71">
        <v>10.4</v>
      </c>
      <c r="AC30" s="71">
        <v>15.2</v>
      </c>
      <c r="AD30" s="71">
        <v>17.3</v>
      </c>
      <c r="AE30" s="71">
        <v>18.100000000000001</v>
      </c>
      <c r="AF30" s="88">
        <v>18.100000000000001</v>
      </c>
      <c r="AG30" s="71">
        <v>20</v>
      </c>
      <c r="AH30" s="132">
        <v>21.9</v>
      </c>
      <c r="AI30" s="132">
        <v>24</v>
      </c>
      <c r="AJ30" s="71">
        <v>32.5</v>
      </c>
      <c r="AK30" s="88">
        <v>32.5</v>
      </c>
      <c r="AL30" s="71">
        <v>33.200000000000003</v>
      </c>
      <c r="AM30" s="132">
        <v>34.9</v>
      </c>
      <c r="AN30" s="132">
        <v>36.700000000000003</v>
      </c>
      <c r="AO30" s="71">
        <v>37.799999999999997</v>
      </c>
      <c r="AP30" s="88">
        <v>37.799999999999997</v>
      </c>
      <c r="AQ30" s="71">
        <v>38.9</v>
      </c>
      <c r="AR30" s="132">
        <v>40.200000000000003</v>
      </c>
      <c r="AS30" s="132">
        <v>41.8</v>
      </c>
      <c r="AT30" s="71">
        <v>43.4</v>
      </c>
      <c r="AU30" s="88">
        <v>43.4</v>
      </c>
      <c r="AV30" s="71">
        <v>45.1</v>
      </c>
      <c r="AW30" s="71">
        <v>47.2</v>
      </c>
      <c r="AX30" s="71">
        <v>49.5</v>
      </c>
      <c r="AY30" s="71">
        <v>51.5</v>
      </c>
      <c r="AZ30" s="88">
        <v>51.5</v>
      </c>
      <c r="BA30" s="71">
        <v>53.5</v>
      </c>
      <c r="BB30" s="71">
        <v>55.4</v>
      </c>
      <c r="BC30" s="71">
        <v>57.41</v>
      </c>
      <c r="BD30" s="71">
        <v>59.1</v>
      </c>
      <c r="BE30" s="88">
        <v>59.1</v>
      </c>
      <c r="BF30" s="71">
        <v>61.5</v>
      </c>
      <c r="BG30" s="71">
        <v>64</v>
      </c>
      <c r="BH30" s="71">
        <v>66.180000000000007</v>
      </c>
      <c r="BI30" s="71">
        <f>BJ30</f>
        <v>67.8</v>
      </c>
      <c r="BJ30" s="88">
        <v>67.8</v>
      </c>
      <c r="BK30" s="71">
        <v>69.099999999999994</v>
      </c>
      <c r="BL30" s="71">
        <v>70.400000000000006</v>
      </c>
      <c r="BM30" s="71">
        <v>71.599999999999994</v>
      </c>
      <c r="BN30" s="71">
        <v>74.2</v>
      </c>
      <c r="BO30" s="88">
        <v>74.2</v>
      </c>
      <c r="BP30" s="71">
        <v>77.7</v>
      </c>
      <c r="BQ30" s="71">
        <v>87.8</v>
      </c>
      <c r="BR30" s="71">
        <v>104.2</v>
      </c>
      <c r="BS30" s="71">
        <f>BT30</f>
        <v>129.6</v>
      </c>
      <c r="BT30" s="88">
        <v>129.6</v>
      </c>
    </row>
    <row r="31" spans="1:202">
      <c r="A31" s="62" t="s">
        <v>7</v>
      </c>
      <c r="B31" s="23"/>
      <c r="C31" s="63"/>
      <c r="D31" s="63">
        <f>D30/C30-1</f>
        <v>5.2631578947368363E-2</v>
      </c>
      <c r="E31" s="63">
        <f>E30/D30-1</f>
        <v>5.0000000000000044E-2</v>
      </c>
      <c r="F31" s="63">
        <f>F30/E30-1</f>
        <v>4.7619047619047672E-2</v>
      </c>
      <c r="G31" s="23"/>
      <c r="H31" s="63">
        <f>H30/F30-1</f>
        <v>4.5454545454545192E-2</v>
      </c>
      <c r="I31" s="63">
        <f>I30/H30-1</f>
        <v>4.3478260869565188E-2</v>
      </c>
      <c r="J31" s="63">
        <f>J30/I30-1</f>
        <v>4.1666666666666741E-2</v>
      </c>
      <c r="K31" s="63">
        <f>K30/J30-1</f>
        <v>8.0000000000000071E-2</v>
      </c>
      <c r="L31" s="26"/>
      <c r="M31" s="63">
        <f>M30/K30-1</f>
        <v>0.11111111111111094</v>
      </c>
      <c r="N31" s="63">
        <f>N30/M30-1</f>
        <v>0.1333333333333333</v>
      </c>
      <c r="O31" s="63">
        <f>O30/N30-1</f>
        <v>0.11764705882352944</v>
      </c>
      <c r="P31" s="63">
        <f>P30/O30-1</f>
        <v>0.13157894736842102</v>
      </c>
      <c r="Q31" s="26"/>
      <c r="R31" s="63">
        <f>R30/P30-1</f>
        <v>0.11627906976744184</v>
      </c>
      <c r="S31" s="63">
        <f>S30/R30-1</f>
        <v>0.10416666666666674</v>
      </c>
      <c r="T31" s="63">
        <f>T30/S30-1</f>
        <v>0.13207547169811318</v>
      </c>
      <c r="U31" s="63">
        <f>U30/T30-1</f>
        <v>0.1166666666666667</v>
      </c>
      <c r="V31" s="26"/>
      <c r="W31" s="63">
        <f>W30/U30-1</f>
        <v>0.11940298507462677</v>
      </c>
      <c r="X31" s="63">
        <f>X30/W30-1</f>
        <v>0.10666666666666669</v>
      </c>
      <c r="Y31" s="63">
        <f>Y30/X30-1</f>
        <v>8.43373493975903E-2</v>
      </c>
      <c r="Z31" s="63">
        <f>Z30/Y30-1</f>
        <v>6.6666666666666652E-2</v>
      </c>
      <c r="AA31" s="26"/>
      <c r="AB31" s="63">
        <f>AB30/Z30-1</f>
        <v>8.3333333333333481E-2</v>
      </c>
      <c r="AC31" s="63">
        <f>AC30/AB30-1</f>
        <v>0.46153846153846145</v>
      </c>
      <c r="AD31" s="63">
        <f>AD30/AC30-1</f>
        <v>0.13815789473684226</v>
      </c>
      <c r="AE31" s="63">
        <f>AE30/AD30-1</f>
        <v>4.6242774566473965E-2</v>
      </c>
      <c r="AF31" s="26"/>
      <c r="AG31" s="63">
        <f>AG30/AE30-1</f>
        <v>0.10497237569060758</v>
      </c>
      <c r="AH31" s="63">
        <f>AH30/AG30-1</f>
        <v>9.4999999999999973E-2</v>
      </c>
      <c r="AI31" s="63">
        <f>AI30/AH30-1</f>
        <v>9.5890410958904271E-2</v>
      </c>
      <c r="AJ31" s="63">
        <f>AJ30/AI30-1</f>
        <v>0.35416666666666674</v>
      </c>
      <c r="AK31" s="26"/>
      <c r="AL31" s="63">
        <f>AL30/AJ30-1</f>
        <v>2.1538461538461728E-2</v>
      </c>
      <c r="AM31" s="63">
        <f>AM30/AL30-1</f>
        <v>5.1204819277108404E-2</v>
      </c>
      <c r="AN31" s="63">
        <f>AN30/AM30-1</f>
        <v>5.157593123209181E-2</v>
      </c>
      <c r="AO31" s="63">
        <f>AO30/AN30-1</f>
        <v>2.9972752043596618E-2</v>
      </c>
      <c r="AP31" s="26"/>
      <c r="AQ31" s="63">
        <f>AQ30/AO30-1</f>
        <v>2.9100529100529071E-2</v>
      </c>
      <c r="AR31" s="63">
        <f>AR30/AQ30-1</f>
        <v>3.3419023136247006E-2</v>
      </c>
      <c r="AS31" s="63">
        <f>AS30/AR30-1</f>
        <v>3.9800995024875441E-2</v>
      </c>
      <c r="AT31" s="63">
        <f>AT30/AS30-1</f>
        <v>3.8277511961722466E-2</v>
      </c>
      <c r="AU31" s="26"/>
      <c r="AV31" s="63">
        <f>AV30/AT30-1</f>
        <v>3.9170506912442393E-2</v>
      </c>
      <c r="AW31" s="63">
        <f>AW30/AV30-1</f>
        <v>4.6563192904656381E-2</v>
      </c>
      <c r="AX31" s="63">
        <f>AX30/AW30-1</f>
        <v>4.8728813559322015E-2</v>
      </c>
      <c r="AY31" s="63">
        <f>AY30/AX30-1</f>
        <v>4.0404040404040442E-2</v>
      </c>
      <c r="AZ31" s="26"/>
      <c r="BA31" s="63">
        <f>BA30/AY30-1</f>
        <v>3.8834951456310662E-2</v>
      </c>
      <c r="BB31" s="63">
        <f>BB30/BA30-1</f>
        <v>3.5514018691588767E-2</v>
      </c>
      <c r="BC31" s="63">
        <f>BC30/BB30-1</f>
        <v>3.6281588447653501E-2</v>
      </c>
      <c r="BD31" s="63">
        <f>BD30/BC30-1</f>
        <v>2.943738024734377E-2</v>
      </c>
      <c r="BE31" s="26"/>
      <c r="BF31" s="63">
        <f>BF30/BD30-1</f>
        <v>4.0609137055837463E-2</v>
      </c>
      <c r="BG31" s="63">
        <f>BG30/BF30-1</f>
        <v>4.0650406504065151E-2</v>
      </c>
      <c r="BH31" s="63">
        <f>BH30/BG30-1</f>
        <v>3.4062500000000107E-2</v>
      </c>
      <c r="BI31" s="63">
        <f>BI30/BH30-1</f>
        <v>2.4478694469628248E-2</v>
      </c>
      <c r="BJ31" s="26"/>
      <c r="BK31" s="63">
        <f>BK30/BI30-1</f>
        <v>1.9174041297935096E-2</v>
      </c>
      <c r="BL31" s="63">
        <f>BL30/BK30-1</f>
        <v>1.881331403762676E-2</v>
      </c>
      <c r="BM31" s="63">
        <f>BM30/BL30-1</f>
        <v>1.7045454545454364E-2</v>
      </c>
      <c r="BN31" s="63">
        <f>BN30/BM30-1</f>
        <v>3.6312849162011274E-2</v>
      </c>
      <c r="BO31" s="26"/>
      <c r="BP31" s="63">
        <f>BP30/BN30-1</f>
        <v>4.7169811320754818E-2</v>
      </c>
      <c r="BQ31" s="63">
        <f>BQ30/BP30-1</f>
        <v>0.1299871299871298</v>
      </c>
      <c r="BR31" s="63">
        <f>BR30/BQ30-1</f>
        <v>0.18678815489749434</v>
      </c>
      <c r="BS31" s="63">
        <f>BS30/BR30-1</f>
        <v>0.24376199616122829</v>
      </c>
      <c r="BT31" s="26"/>
    </row>
    <row r="32" spans="1:202">
      <c r="A32" s="62" t="s">
        <v>8</v>
      </c>
      <c r="B32" s="23"/>
      <c r="C32" s="64"/>
      <c r="D32" s="64"/>
      <c r="E32" s="64"/>
      <c r="F32" s="64"/>
      <c r="G32" s="23">
        <f t="shared" ref="G32:R32" si="16">G30/B30-1</f>
        <v>0.29411764705882359</v>
      </c>
      <c r="H32" s="64">
        <f t="shared" si="16"/>
        <v>0.21052631578947367</v>
      </c>
      <c r="I32" s="64">
        <f t="shared" si="16"/>
        <v>0.19999999999999996</v>
      </c>
      <c r="J32" s="64">
        <f t="shared" si="16"/>
        <v>0.19047619047619047</v>
      </c>
      <c r="K32" s="63">
        <f t="shared" si="16"/>
        <v>0.22727272727272729</v>
      </c>
      <c r="L32" s="23">
        <f t="shared" si="16"/>
        <v>0.22727272727272729</v>
      </c>
      <c r="M32" s="64">
        <f t="shared" si="16"/>
        <v>0.30434782608695654</v>
      </c>
      <c r="N32" s="64">
        <f t="shared" si="16"/>
        <v>0.41666666666666674</v>
      </c>
      <c r="O32" s="64">
        <f t="shared" si="16"/>
        <v>0.52</v>
      </c>
      <c r="P32" s="63">
        <f t="shared" si="16"/>
        <v>0.59259259259259234</v>
      </c>
      <c r="Q32" s="23">
        <f t="shared" si="16"/>
        <v>0.59259259259259234</v>
      </c>
      <c r="R32" s="64">
        <f t="shared" si="16"/>
        <v>0.59999999999999987</v>
      </c>
      <c r="S32" s="64">
        <f t="shared" ref="S32:Y32" si="17">S30/N30-1</f>
        <v>0.55882352941176472</v>
      </c>
      <c r="T32" s="64">
        <f t="shared" si="17"/>
        <v>0.57894736842105265</v>
      </c>
      <c r="U32" s="63">
        <f t="shared" si="17"/>
        <v>0.55813953488372103</v>
      </c>
      <c r="V32" s="23">
        <f t="shared" si="17"/>
        <v>0.55813953488372103</v>
      </c>
      <c r="W32" s="64">
        <f t="shared" si="17"/>
        <v>0.5625</v>
      </c>
      <c r="X32" s="64">
        <f t="shared" si="17"/>
        <v>0.5660377358490567</v>
      </c>
      <c r="Y32" s="64">
        <f t="shared" si="17"/>
        <v>0.5</v>
      </c>
      <c r="Z32" s="63">
        <f t="shared" ref="Z32:AI32" si="18">Z30/U30-1</f>
        <v>0.43283582089552231</v>
      </c>
      <c r="AA32" s="23">
        <f t="shared" si="18"/>
        <v>0.43283582089552231</v>
      </c>
      <c r="AB32" s="64">
        <f t="shared" si="18"/>
        <v>0.38666666666666671</v>
      </c>
      <c r="AC32" s="64">
        <f t="shared" si="18"/>
        <v>0.83132530120481896</v>
      </c>
      <c r="AD32" s="64">
        <f t="shared" si="18"/>
        <v>0.92222222222222228</v>
      </c>
      <c r="AE32" s="63">
        <f t="shared" si="18"/>
        <v>0.88541666666666696</v>
      </c>
      <c r="AF32" s="23">
        <f t="shared" si="18"/>
        <v>0.88541666666666696</v>
      </c>
      <c r="AG32" s="64">
        <f t="shared" si="18"/>
        <v>0.92307692307692291</v>
      </c>
      <c r="AH32" s="64">
        <f t="shared" si="18"/>
        <v>0.4407894736842104</v>
      </c>
      <c r="AI32" s="64">
        <f t="shared" si="18"/>
        <v>0.38728323699421963</v>
      </c>
      <c r="AJ32" s="63">
        <f t="shared" ref="AJ32:AS32" si="19">AJ30/AE30-1</f>
        <v>0.79558011049723754</v>
      </c>
      <c r="AK32" s="23">
        <f t="shared" si="19"/>
        <v>0.79558011049723754</v>
      </c>
      <c r="AL32" s="64">
        <f t="shared" si="19"/>
        <v>0.66000000000000014</v>
      </c>
      <c r="AM32" s="64">
        <f t="shared" si="19"/>
        <v>0.59360730593607314</v>
      </c>
      <c r="AN32" s="64">
        <f t="shared" si="19"/>
        <v>0.52916666666666679</v>
      </c>
      <c r="AO32" s="63">
        <f t="shared" si="19"/>
        <v>0.1630769230769229</v>
      </c>
      <c r="AP32" s="23">
        <f t="shared" si="19"/>
        <v>0.1630769230769229</v>
      </c>
      <c r="AQ32" s="64">
        <f t="shared" si="19"/>
        <v>0.17168674698795172</v>
      </c>
      <c r="AR32" s="64">
        <f t="shared" si="19"/>
        <v>0.15186246418338123</v>
      </c>
      <c r="AS32" s="64">
        <f t="shared" si="19"/>
        <v>0.13896457765667569</v>
      </c>
      <c r="AT32" s="63">
        <f t="shared" ref="AT32:BT32" si="20">AT30/AO30-1</f>
        <v>0.14814814814814814</v>
      </c>
      <c r="AU32" s="23">
        <f t="shared" si="20"/>
        <v>0.14814814814814814</v>
      </c>
      <c r="AV32" s="64">
        <f t="shared" si="20"/>
        <v>0.15938303341902316</v>
      </c>
      <c r="AW32" s="64">
        <f t="shared" si="20"/>
        <v>0.17412935323383083</v>
      </c>
      <c r="AX32" s="64">
        <f t="shared" si="20"/>
        <v>0.1842105263157896</v>
      </c>
      <c r="AY32" s="63">
        <f t="shared" si="20"/>
        <v>0.18663594470046085</v>
      </c>
      <c r="AZ32" s="23">
        <f t="shared" si="20"/>
        <v>0.18663594470046085</v>
      </c>
      <c r="BA32" s="64">
        <f t="shared" si="20"/>
        <v>0.1862527716186253</v>
      </c>
      <c r="BB32" s="64">
        <f t="shared" si="20"/>
        <v>0.17372881355932202</v>
      </c>
      <c r="BC32" s="64">
        <f t="shared" si="20"/>
        <v>0.15979797979797983</v>
      </c>
      <c r="BD32" s="63">
        <f t="shared" si="20"/>
        <v>0.14757281553398061</v>
      </c>
      <c r="BE32" s="23">
        <f t="shared" si="20"/>
        <v>0.14757281553398061</v>
      </c>
      <c r="BF32" s="64">
        <f t="shared" si="20"/>
        <v>0.14953271028037385</v>
      </c>
      <c r="BG32" s="64">
        <f t="shared" si="20"/>
        <v>0.15523465703971118</v>
      </c>
      <c r="BH32" s="64">
        <f t="shared" si="20"/>
        <v>0.15276084305870086</v>
      </c>
      <c r="BI32" s="63">
        <f t="shared" si="20"/>
        <v>0.14720812182741105</v>
      </c>
      <c r="BJ32" s="23">
        <f t="shared" si="20"/>
        <v>0.14720812182741105</v>
      </c>
      <c r="BK32" s="64">
        <f t="shared" si="20"/>
        <v>0.12357723577235769</v>
      </c>
      <c r="BL32" s="64">
        <f t="shared" si="20"/>
        <v>0.10000000000000009</v>
      </c>
      <c r="BM32" s="64">
        <f t="shared" si="20"/>
        <v>8.1897854336657305E-2</v>
      </c>
      <c r="BN32" s="63">
        <f t="shared" si="20"/>
        <v>9.4395280235988199E-2</v>
      </c>
      <c r="BO32" s="23">
        <f t="shared" si="20"/>
        <v>9.4395280235988199E-2</v>
      </c>
      <c r="BP32" s="64">
        <f t="shared" si="20"/>
        <v>0.12445730824891466</v>
      </c>
      <c r="BQ32" s="64">
        <f t="shared" si="20"/>
        <v>0.24715909090909083</v>
      </c>
      <c r="BR32" s="64">
        <f t="shared" si="20"/>
        <v>0.45530726256983245</v>
      </c>
      <c r="BS32" s="63">
        <f t="shared" si="20"/>
        <v>0.74663072776280304</v>
      </c>
      <c r="BT32" s="23">
        <f t="shared" si="20"/>
        <v>0.74663072776280304</v>
      </c>
    </row>
    <row r="33" spans="1:202" ht="18.75" customHeight="1">
      <c r="A33" s="60" t="s">
        <v>247</v>
      </c>
      <c r="B33" s="23"/>
      <c r="C33" s="64"/>
      <c r="D33" s="64"/>
      <c r="E33" s="64"/>
      <c r="F33" s="64"/>
      <c r="G33" s="23"/>
      <c r="H33" s="64"/>
      <c r="I33" s="64"/>
      <c r="J33" s="64"/>
      <c r="K33" s="63"/>
      <c r="L33" s="89" t="s">
        <v>38</v>
      </c>
      <c r="M33" s="89" t="s">
        <v>38</v>
      </c>
      <c r="N33" s="89" t="s">
        <v>38</v>
      </c>
      <c r="O33" s="89" t="s">
        <v>38</v>
      </c>
      <c r="P33" s="89" t="s">
        <v>38</v>
      </c>
      <c r="Q33" s="89" t="s">
        <v>38</v>
      </c>
      <c r="R33" s="89" t="s">
        <v>38</v>
      </c>
      <c r="S33" s="89" t="s">
        <v>38</v>
      </c>
      <c r="T33" s="89" t="s">
        <v>38</v>
      </c>
      <c r="U33" s="89" t="s">
        <v>38</v>
      </c>
      <c r="V33" s="89" t="s">
        <v>38</v>
      </c>
      <c r="W33" s="89" t="s">
        <v>38</v>
      </c>
      <c r="X33" s="89" t="s">
        <v>38</v>
      </c>
      <c r="Y33" s="89" t="s">
        <v>38</v>
      </c>
      <c r="Z33" s="89" t="s">
        <v>38</v>
      </c>
      <c r="AA33" s="89" t="s">
        <v>38</v>
      </c>
      <c r="AB33" s="89" t="s">
        <v>38</v>
      </c>
      <c r="AC33" s="89" t="s">
        <v>38</v>
      </c>
      <c r="AD33" s="89" t="s">
        <v>38</v>
      </c>
      <c r="AE33" s="89" t="s">
        <v>38</v>
      </c>
      <c r="AF33" s="89" t="s">
        <v>38</v>
      </c>
      <c r="AG33" s="89" t="s">
        <v>38</v>
      </c>
      <c r="AH33" s="89" t="s">
        <v>38</v>
      </c>
      <c r="AI33" s="89" t="s">
        <v>38</v>
      </c>
      <c r="AJ33" s="89" t="s">
        <v>38</v>
      </c>
      <c r="AK33" s="89" t="s">
        <v>38</v>
      </c>
      <c r="AL33" s="89" t="s">
        <v>38</v>
      </c>
      <c r="AM33" s="89" t="s">
        <v>38</v>
      </c>
      <c r="AN33" s="89" t="s">
        <v>38</v>
      </c>
      <c r="AO33" s="89" t="s">
        <v>38</v>
      </c>
      <c r="AP33" s="89" t="s">
        <v>38</v>
      </c>
      <c r="AQ33" s="89" t="s">
        <v>38</v>
      </c>
      <c r="AR33" s="89" t="s">
        <v>38</v>
      </c>
      <c r="AS33" s="89" t="s">
        <v>38</v>
      </c>
      <c r="AT33" s="89" t="s">
        <v>38</v>
      </c>
      <c r="AU33" s="89" t="s">
        <v>38</v>
      </c>
      <c r="AV33" s="89" t="s">
        <v>38</v>
      </c>
      <c r="AW33" s="89" t="s">
        <v>38</v>
      </c>
      <c r="AX33" s="89" t="s">
        <v>38</v>
      </c>
      <c r="AY33" s="89" t="s">
        <v>38</v>
      </c>
      <c r="AZ33" s="89" t="s">
        <v>38</v>
      </c>
      <c r="BA33" s="73" t="s">
        <v>35</v>
      </c>
      <c r="BB33" s="73" t="s">
        <v>35</v>
      </c>
      <c r="BC33" s="73" t="s">
        <v>35</v>
      </c>
      <c r="BD33" s="61">
        <v>100</v>
      </c>
      <c r="BE33" s="27">
        <v>100</v>
      </c>
      <c r="BF33" s="61">
        <v>159</v>
      </c>
      <c r="BG33" s="61">
        <v>215</v>
      </c>
      <c r="BH33" s="61">
        <v>272</v>
      </c>
      <c r="BI33" s="61">
        <v>321</v>
      </c>
      <c r="BJ33" s="27">
        <v>321</v>
      </c>
      <c r="BK33" s="61">
        <v>378</v>
      </c>
      <c r="BL33" s="61">
        <v>433</v>
      </c>
      <c r="BM33" s="61">
        <v>487</v>
      </c>
      <c r="BN33" s="61">
        <f>BO33</f>
        <v>537</v>
      </c>
      <c r="BO33" s="27">
        <v>537</v>
      </c>
      <c r="BP33" s="61">
        <v>579</v>
      </c>
      <c r="BQ33" s="61">
        <v>609</v>
      </c>
      <c r="BR33" s="61">
        <v>635</v>
      </c>
      <c r="BS33" s="61">
        <f>BT33</f>
        <v>666</v>
      </c>
      <c r="BT33" s="27">
        <v>666</v>
      </c>
    </row>
    <row r="34" spans="1:202" ht="13.5" customHeight="1">
      <c r="A34" s="62" t="s">
        <v>378</v>
      </c>
      <c r="B34" s="23"/>
      <c r="C34" s="64"/>
      <c r="D34" s="64"/>
      <c r="E34" s="64"/>
      <c r="F34" s="64"/>
      <c r="G34" s="23"/>
      <c r="H34" s="64"/>
      <c r="I34" s="64"/>
      <c r="J34" s="64"/>
      <c r="K34" s="63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73"/>
      <c r="BB34" s="73"/>
      <c r="BC34" s="73"/>
      <c r="BD34" s="61"/>
      <c r="BE34" s="27"/>
      <c r="BF34" s="287">
        <f>BF33-BE33</f>
        <v>59</v>
      </c>
      <c r="BG34" s="287">
        <f>BG33-BF33</f>
        <v>56</v>
      </c>
      <c r="BH34" s="287">
        <f>BH33-BG33</f>
        <v>57</v>
      </c>
      <c r="BI34" s="287">
        <f>BI33-BH33</f>
        <v>49</v>
      </c>
      <c r="BJ34" s="288"/>
      <c r="BK34" s="287">
        <f>BK33-BI33</f>
        <v>57</v>
      </c>
      <c r="BL34" s="287">
        <f>BL33-BK33</f>
        <v>55</v>
      </c>
      <c r="BM34" s="287">
        <f>BM33-BL33</f>
        <v>54</v>
      </c>
      <c r="BN34" s="287">
        <f>BN33-BM33</f>
        <v>50</v>
      </c>
      <c r="BO34" s="288"/>
      <c r="BP34" s="287">
        <f>BP33-BN33</f>
        <v>42</v>
      </c>
      <c r="BQ34" s="287">
        <f>BQ33-BP33</f>
        <v>30</v>
      </c>
      <c r="BR34" s="287">
        <f>BR33-BQ33</f>
        <v>26</v>
      </c>
      <c r="BS34" s="287">
        <f>BS33-BR33</f>
        <v>31</v>
      </c>
      <c r="BT34" s="352">
        <f>BT33-BO33</f>
        <v>129</v>
      </c>
    </row>
    <row r="35" spans="1:202" ht="8.25" customHeight="1">
      <c r="A35" s="60"/>
      <c r="B35" s="23"/>
      <c r="C35" s="64"/>
      <c r="D35" s="64"/>
      <c r="E35" s="64"/>
      <c r="F35" s="64"/>
      <c r="G35" s="23"/>
      <c r="H35" s="64"/>
      <c r="I35" s="64"/>
      <c r="J35" s="64"/>
      <c r="K35" s="63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73"/>
      <c r="BB35" s="73"/>
      <c r="BC35" s="73"/>
      <c r="BD35" s="61"/>
      <c r="BE35" s="27"/>
      <c r="BF35" s="61"/>
      <c r="BG35" s="61"/>
      <c r="BH35" s="61"/>
      <c r="BI35" s="61"/>
      <c r="BJ35" s="27"/>
      <c r="BK35" s="61"/>
      <c r="BL35" s="61"/>
      <c r="BM35" s="61"/>
      <c r="BN35" s="61"/>
      <c r="BO35" s="27"/>
      <c r="BP35" s="61"/>
      <c r="BQ35" s="61"/>
      <c r="BR35" s="61"/>
      <c r="BS35" s="61"/>
      <c r="BT35" s="27"/>
    </row>
    <row r="36" spans="1:202" ht="14.25" customHeight="1">
      <c r="A36" s="60" t="s">
        <v>257</v>
      </c>
      <c r="B36" s="23"/>
      <c r="C36" s="64"/>
      <c r="D36" s="64"/>
      <c r="E36" s="64"/>
      <c r="F36" s="64"/>
      <c r="G36" s="23"/>
      <c r="H36" s="64"/>
      <c r="I36" s="64"/>
      <c r="J36" s="64"/>
      <c r="K36" s="63"/>
      <c r="L36" s="23"/>
      <c r="M36" s="64"/>
      <c r="N36" s="64"/>
      <c r="O36" s="64"/>
      <c r="P36" s="63"/>
      <c r="Q36" s="23"/>
      <c r="R36" s="64"/>
      <c r="S36" s="64"/>
      <c r="T36" s="64"/>
      <c r="U36" s="63"/>
      <c r="V36" s="23"/>
      <c r="W36" s="64"/>
      <c r="X36" s="64"/>
      <c r="Y36" s="64"/>
      <c r="Z36" s="63"/>
      <c r="AA36" s="23"/>
      <c r="AB36" s="64"/>
      <c r="AC36" s="64"/>
      <c r="AD36" s="64"/>
      <c r="AE36" s="63"/>
      <c r="AF36" s="23"/>
      <c r="AG36" s="64"/>
      <c r="AH36" s="64"/>
      <c r="AI36" s="64"/>
      <c r="AJ36" s="63"/>
      <c r="AK36" s="23"/>
      <c r="AL36" s="64"/>
      <c r="AM36" s="64"/>
      <c r="AN36" s="64"/>
      <c r="AO36" s="63"/>
      <c r="AP36" s="23"/>
      <c r="AQ36" s="64"/>
      <c r="AR36" s="64"/>
      <c r="AS36" s="64"/>
      <c r="AT36" s="63"/>
      <c r="AU36" s="23"/>
      <c r="AV36" s="64"/>
      <c r="AW36" s="64"/>
      <c r="AX36" s="64"/>
      <c r="AY36" s="63"/>
      <c r="AZ36" s="23"/>
      <c r="BA36" s="64"/>
      <c r="BB36" s="64"/>
      <c r="BC36" s="64"/>
      <c r="BD36" s="63"/>
      <c r="BE36" s="23"/>
      <c r="BF36" s="61">
        <v>60</v>
      </c>
      <c r="BG36" s="61">
        <v>77</v>
      </c>
      <c r="BH36" s="61">
        <v>100</v>
      </c>
      <c r="BI36" s="61">
        <v>116</v>
      </c>
      <c r="BJ36" s="27">
        <v>116</v>
      </c>
      <c r="BK36" s="61">
        <v>144</v>
      </c>
      <c r="BL36" s="61">
        <v>177</v>
      </c>
      <c r="BM36" s="61">
        <v>218</v>
      </c>
      <c r="BN36" s="61">
        <f>BO36</f>
        <v>248</v>
      </c>
      <c r="BO36" s="27">
        <v>248</v>
      </c>
      <c r="BP36" s="61">
        <v>277</v>
      </c>
      <c r="BQ36" s="61">
        <v>299</v>
      </c>
      <c r="BR36" s="61">
        <v>323</v>
      </c>
      <c r="BS36" s="61">
        <f>BT36</f>
        <v>357</v>
      </c>
      <c r="BT36" s="27">
        <v>357</v>
      </c>
    </row>
    <row r="37" spans="1:202">
      <c r="A37" s="62" t="s">
        <v>378</v>
      </c>
      <c r="V37" s="23"/>
      <c r="W37" s="64"/>
      <c r="X37" s="64"/>
      <c r="Y37" s="64"/>
      <c r="Z37" s="63"/>
      <c r="AA37" s="23"/>
      <c r="AB37" s="64"/>
      <c r="AC37" s="64"/>
      <c r="AD37" s="64"/>
      <c r="AE37" s="63"/>
      <c r="AF37" s="23"/>
      <c r="AG37" s="64"/>
      <c r="AH37" s="64"/>
      <c r="AI37" s="64"/>
      <c r="AJ37" s="63"/>
      <c r="AK37" s="23"/>
      <c r="AL37" s="64"/>
      <c r="AM37" s="64"/>
      <c r="AN37" s="64"/>
      <c r="AO37" s="63"/>
      <c r="AP37" s="23"/>
      <c r="AQ37" s="64"/>
      <c r="AR37" s="64"/>
      <c r="AS37" s="64"/>
      <c r="AT37" s="63"/>
      <c r="AU37" s="23"/>
      <c r="AV37" s="64"/>
      <c r="AW37" s="64"/>
      <c r="AX37" s="64"/>
      <c r="AY37" s="63"/>
      <c r="AZ37" s="23"/>
      <c r="BA37" s="64"/>
      <c r="BB37" s="64"/>
      <c r="BC37" s="64"/>
      <c r="BD37" s="63"/>
      <c r="BE37" s="23"/>
      <c r="BG37" s="287">
        <f>BG36-BF36</f>
        <v>17</v>
      </c>
      <c r="BH37" s="287">
        <f>BH36-BG36</f>
        <v>23</v>
      </c>
      <c r="BI37" s="287">
        <f>BI36-BH36</f>
        <v>16</v>
      </c>
      <c r="BJ37" s="288"/>
      <c r="BK37" s="287">
        <f>BK36-BI36</f>
        <v>28</v>
      </c>
      <c r="BL37" s="287">
        <f>BL36-BK36</f>
        <v>33</v>
      </c>
      <c r="BM37" s="287">
        <f>BM36-BL36</f>
        <v>41</v>
      </c>
      <c r="BN37" s="287">
        <f>BN36-BM36</f>
        <v>30</v>
      </c>
      <c r="BO37" s="288"/>
      <c r="BP37" s="287">
        <f>BP36-BN36</f>
        <v>29</v>
      </c>
      <c r="BQ37" s="287">
        <f>BQ36-BP36</f>
        <v>22</v>
      </c>
      <c r="BR37" s="287">
        <f>BR36-BQ36</f>
        <v>24</v>
      </c>
      <c r="BS37" s="287">
        <f>BS36-BR36</f>
        <v>34</v>
      </c>
      <c r="BT37" s="352">
        <f>BT36-BO36</f>
        <v>109</v>
      </c>
    </row>
    <row r="38" spans="1:202" s="41" customFormat="1">
      <c r="A38" s="328" t="s">
        <v>376</v>
      </c>
      <c r="B38" s="328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  <c r="BO38" s="316"/>
      <c r="BP38" s="316"/>
      <c r="BQ38" s="316"/>
      <c r="BR38" s="316"/>
      <c r="BS38" s="316"/>
      <c r="BT38" s="316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</row>
    <row r="39" spans="1:202">
      <c r="A39" s="79" t="s">
        <v>58</v>
      </c>
      <c r="B39" s="36">
        <v>2749</v>
      </c>
      <c r="C39" s="66">
        <v>2701</v>
      </c>
      <c r="D39" s="66">
        <v>2670</v>
      </c>
      <c r="E39" s="66">
        <v>2634</v>
      </c>
      <c r="F39" s="66">
        <v>2604</v>
      </c>
      <c r="G39" s="36">
        <v>2604</v>
      </c>
      <c r="H39" s="66">
        <v>2571</v>
      </c>
      <c r="I39" s="66">
        <v>2540</v>
      </c>
      <c r="J39" s="66">
        <v>2513</v>
      </c>
      <c r="K39" s="61">
        <v>2483</v>
      </c>
      <c r="L39" s="35">
        <v>2483</v>
      </c>
      <c r="M39" s="66">
        <v>2454</v>
      </c>
      <c r="N39" s="66">
        <v>2422</v>
      </c>
      <c r="O39" s="66">
        <v>2394</v>
      </c>
      <c r="P39" s="61">
        <v>2366</v>
      </c>
      <c r="Q39" s="35">
        <v>2366</v>
      </c>
      <c r="R39" s="66">
        <v>2358</v>
      </c>
      <c r="S39" s="66">
        <v>2356</v>
      </c>
      <c r="T39" s="66">
        <v>2363</v>
      </c>
      <c r="U39" s="61">
        <v>2367</v>
      </c>
      <c r="V39" s="35">
        <v>2367</v>
      </c>
      <c r="W39" s="66">
        <v>2368</v>
      </c>
      <c r="X39" s="66">
        <v>2335</v>
      </c>
      <c r="Y39" s="66">
        <v>2299</v>
      </c>
      <c r="Z39" s="61">
        <v>2268</v>
      </c>
      <c r="AA39" s="35">
        <v>2268</v>
      </c>
      <c r="AB39" s="66">
        <v>2242</v>
      </c>
      <c r="AC39" s="66">
        <v>2224</v>
      </c>
      <c r="AD39" s="66">
        <v>2223</v>
      </c>
      <c r="AE39" s="61">
        <v>2216</v>
      </c>
      <c r="AF39" s="35">
        <v>2216</v>
      </c>
      <c r="AG39" s="66">
        <v>2214</v>
      </c>
      <c r="AH39" s="66">
        <v>2205</v>
      </c>
      <c r="AI39" s="66">
        <v>2205</v>
      </c>
      <c r="AJ39" s="61">
        <v>2205</v>
      </c>
      <c r="AK39" s="35">
        <v>2205</v>
      </c>
      <c r="AL39" s="66">
        <v>2125</v>
      </c>
      <c r="AM39" s="66">
        <v>2117</v>
      </c>
      <c r="AN39" s="66">
        <v>2103</v>
      </c>
      <c r="AO39" s="61">
        <v>2087</v>
      </c>
      <c r="AP39" s="35">
        <v>2087</v>
      </c>
      <c r="AQ39" s="66">
        <v>2068</v>
      </c>
      <c r="AR39" s="66">
        <v>2050</v>
      </c>
      <c r="AS39" s="66">
        <v>2031</v>
      </c>
      <c r="AT39" s="61">
        <v>2010</v>
      </c>
      <c r="AU39" s="35">
        <v>2010</v>
      </c>
      <c r="AV39" s="66">
        <v>1986</v>
      </c>
      <c r="AW39" s="66">
        <v>1961</v>
      </c>
      <c r="AX39" s="66">
        <v>1942</v>
      </c>
      <c r="AY39" s="61">
        <v>1916</v>
      </c>
      <c r="AZ39" s="35">
        <v>1916</v>
      </c>
      <c r="BA39" s="66">
        <v>1889</v>
      </c>
      <c r="BB39" s="66">
        <v>1865</v>
      </c>
      <c r="BC39" s="66">
        <v>1843</v>
      </c>
      <c r="BD39" s="61">
        <f>BE39</f>
        <v>1818</v>
      </c>
      <c r="BE39" s="35">
        <v>1818</v>
      </c>
      <c r="BF39" s="66">
        <v>1792</v>
      </c>
      <c r="BG39" s="66">
        <v>1768</v>
      </c>
      <c r="BH39" s="66">
        <v>1743</v>
      </c>
      <c r="BI39" s="61">
        <f>BJ39</f>
        <v>1718</v>
      </c>
      <c r="BJ39" s="35">
        <v>1718</v>
      </c>
      <c r="BK39" s="66">
        <v>1693</v>
      </c>
      <c r="BL39" s="66">
        <v>1675</v>
      </c>
      <c r="BM39" s="66">
        <v>1653</v>
      </c>
      <c r="BN39" s="61">
        <f>BO39</f>
        <v>1639</v>
      </c>
      <c r="BO39" s="35">
        <v>1639</v>
      </c>
      <c r="BP39" s="66">
        <v>1630</v>
      </c>
      <c r="BQ39" s="66">
        <v>1615</v>
      </c>
      <c r="BR39" s="66">
        <v>1602</v>
      </c>
      <c r="BS39" s="61">
        <f>BT39</f>
        <v>1583</v>
      </c>
      <c r="BT39" s="35">
        <v>1583</v>
      </c>
    </row>
    <row r="40" spans="1:202">
      <c r="A40" s="62" t="s">
        <v>7</v>
      </c>
      <c r="B40" s="23"/>
      <c r="C40" s="63"/>
      <c r="D40" s="63">
        <f>D39/C39-1</f>
        <v>-1.1477230655312809E-2</v>
      </c>
      <c r="E40" s="63">
        <f>E39/D39-1</f>
        <v>-1.3483146067415741E-2</v>
      </c>
      <c r="F40" s="63">
        <f>F39/E39-1</f>
        <v>-1.1389521640091105E-2</v>
      </c>
      <c r="G40" s="23"/>
      <c r="H40" s="63">
        <f>H39/F39-1</f>
        <v>-1.2672811059907807E-2</v>
      </c>
      <c r="I40" s="63">
        <f>I39/H39-1</f>
        <v>-1.2057565149747207E-2</v>
      </c>
      <c r="J40" s="63">
        <f>J39/I39-1</f>
        <v>-1.0629921259842523E-2</v>
      </c>
      <c r="K40" s="63">
        <f>K39/J39-1</f>
        <v>-1.1937922801432577E-2</v>
      </c>
      <c r="L40" s="26"/>
      <c r="M40" s="63">
        <f>M39/K39-1</f>
        <v>-1.1679420056383449E-2</v>
      </c>
      <c r="N40" s="63">
        <f>N39/M39-1</f>
        <v>-1.3039934800325947E-2</v>
      </c>
      <c r="O40" s="63">
        <f>O39/N39-1</f>
        <v>-1.1560693641618491E-2</v>
      </c>
      <c r="P40" s="63">
        <f>P39/O39-1</f>
        <v>-1.1695906432748537E-2</v>
      </c>
      <c r="Q40" s="26"/>
      <c r="R40" s="63">
        <f>R39/P39-1</f>
        <v>-3.3812341504648735E-3</v>
      </c>
      <c r="S40" s="63">
        <f>S39/R39-1</f>
        <v>-8.4817642069545673E-4</v>
      </c>
      <c r="T40" s="63">
        <f>T39/S39-1</f>
        <v>2.9711375212224667E-3</v>
      </c>
      <c r="U40" s="63">
        <f>U39/T39-1</f>
        <v>1.6927634363097521E-3</v>
      </c>
      <c r="V40" s="26"/>
      <c r="W40" s="63">
        <f>W39/U39-1</f>
        <v>4.2247570764675224E-4</v>
      </c>
      <c r="X40" s="63">
        <f>X39/W39-1</f>
        <v>-1.3935810810810856E-2</v>
      </c>
      <c r="Y40" s="63">
        <f>Y39/X39-1</f>
        <v>-1.5417558886509641E-2</v>
      </c>
      <c r="Z40" s="63">
        <f>Z39/Y39-1</f>
        <v>-1.3484123531970371E-2</v>
      </c>
      <c r="AA40" s="26"/>
      <c r="AB40" s="63">
        <f>AB39/Z39-1</f>
        <v>-1.1463844797178102E-2</v>
      </c>
      <c r="AC40" s="63">
        <f>AC39/AB39-1</f>
        <v>-8.0285459411240101E-3</v>
      </c>
      <c r="AD40" s="63">
        <f>AD39/AC39-1</f>
        <v>-4.4964028776983689E-4</v>
      </c>
      <c r="AE40" s="63">
        <f>AE39/AD39-1</f>
        <v>-3.1488978857400207E-3</v>
      </c>
      <c r="AF40" s="26"/>
      <c r="AG40" s="63">
        <f>AG39/AE39-1</f>
        <v>-9.0252707581228719E-4</v>
      </c>
      <c r="AH40" s="63">
        <f>AH39/AG39-1</f>
        <v>-4.0650406504064707E-3</v>
      </c>
      <c r="AI40" s="63">
        <f>AI39/AH39-1</f>
        <v>0</v>
      </c>
      <c r="AJ40" s="63">
        <f>AJ39/AI39-1</f>
        <v>0</v>
      </c>
      <c r="AK40" s="26"/>
      <c r="AL40" s="63">
        <f>AL39/AJ39-1</f>
        <v>-3.6281179138321962E-2</v>
      </c>
      <c r="AM40" s="63">
        <f>AM39/AL39-1</f>
        <v>-3.7647058823528923E-3</v>
      </c>
      <c r="AN40" s="63">
        <f>AN39/AM39-1</f>
        <v>-6.6131317902692333E-3</v>
      </c>
      <c r="AO40" s="63">
        <f>AO39/AN39-1</f>
        <v>-7.6081787922016586E-3</v>
      </c>
      <c r="AP40" s="26"/>
      <c r="AQ40" s="63">
        <f>AQ39/AO39-1</f>
        <v>-9.1039770004791576E-3</v>
      </c>
      <c r="AR40" s="63">
        <f>AR39/AQ39-1</f>
        <v>-8.704061895551285E-3</v>
      </c>
      <c r="AS40" s="63">
        <f>AS39/AR39-1</f>
        <v>-9.2682926829268375E-3</v>
      </c>
      <c r="AT40" s="63">
        <f>AT39/AS39-1</f>
        <v>-1.0339734121122546E-2</v>
      </c>
      <c r="AU40" s="26"/>
      <c r="AV40" s="63">
        <f>AV39/AT39-1</f>
        <v>-1.1940298507462699E-2</v>
      </c>
      <c r="AW40" s="63">
        <f>AW39/AV39-1</f>
        <v>-1.2588116817724093E-2</v>
      </c>
      <c r="AX40" s="63">
        <f>AX39/AW39-1</f>
        <v>-9.6889342172361559E-3</v>
      </c>
      <c r="AY40" s="63">
        <f>AY39/AX39-1</f>
        <v>-1.3388259526261548E-2</v>
      </c>
      <c r="AZ40" s="26"/>
      <c r="BA40" s="63">
        <f>BA39/AY39-1</f>
        <v>-1.4091858037578286E-2</v>
      </c>
      <c r="BB40" s="63">
        <f>BB39/BA39-1</f>
        <v>-1.2705134992059275E-2</v>
      </c>
      <c r="BC40" s="63">
        <f>BC39/BB39-1</f>
        <v>-1.1796246648793529E-2</v>
      </c>
      <c r="BD40" s="63">
        <f>BD39/BC39-1</f>
        <v>-1.3564839934888773E-2</v>
      </c>
      <c r="BE40" s="26"/>
      <c r="BF40" s="63">
        <f>BF39/BD39-1</f>
        <v>-1.4301430143014326E-2</v>
      </c>
      <c r="BG40" s="63">
        <f>BG39/BF39-1</f>
        <v>-1.3392857142857095E-2</v>
      </c>
      <c r="BH40" s="63">
        <f>BH39/BG39-1</f>
        <v>-1.4140271493212619E-2</v>
      </c>
      <c r="BI40" s="63">
        <f>BI39/BH39-1</f>
        <v>-1.4343086632243263E-2</v>
      </c>
      <c r="BJ40" s="26"/>
      <c r="BK40" s="63">
        <f>BK39/BI39-1</f>
        <v>-1.4551804423748593E-2</v>
      </c>
      <c r="BL40" s="63">
        <f>BL39/BK39-1</f>
        <v>-1.0632014176018889E-2</v>
      </c>
      <c r="BM40" s="63">
        <f>BM39/BL39-1</f>
        <v>-1.3134328358208935E-2</v>
      </c>
      <c r="BN40" s="63">
        <f>BN39/BM39-1</f>
        <v>-8.4694494857834313E-3</v>
      </c>
      <c r="BO40" s="26"/>
      <c r="BP40" s="63">
        <f>BP39/BN39-1</f>
        <v>-5.4911531421598658E-3</v>
      </c>
      <c r="BQ40" s="63">
        <f>BQ39/BP39-1</f>
        <v>-9.2024539877300082E-3</v>
      </c>
      <c r="BR40" s="63">
        <f>BR39/BQ39-1</f>
        <v>-8.04953560371513E-3</v>
      </c>
      <c r="BS40" s="63">
        <f>BS39/BR39-1</f>
        <v>-1.1860174781523125E-2</v>
      </c>
      <c r="BT40" s="26"/>
    </row>
    <row r="41" spans="1:202">
      <c r="A41" s="62" t="s">
        <v>8</v>
      </c>
      <c r="B41" s="23"/>
      <c r="C41" s="64"/>
      <c r="D41" s="64"/>
      <c r="E41" s="64"/>
      <c r="F41" s="64"/>
      <c r="G41" s="23">
        <f t="shared" ref="G41:O41" si="21">G39/B39-1</f>
        <v>-5.2746453255729353E-2</v>
      </c>
      <c r="H41" s="64">
        <f t="shared" si="21"/>
        <v>-4.8130322102924894E-2</v>
      </c>
      <c r="I41" s="64">
        <f t="shared" si="21"/>
        <v>-4.8689138576779034E-2</v>
      </c>
      <c r="J41" s="64">
        <f t="shared" si="21"/>
        <v>-4.5937737281700808E-2</v>
      </c>
      <c r="K41" s="63">
        <f t="shared" si="21"/>
        <v>-4.64669738863287E-2</v>
      </c>
      <c r="L41" s="23">
        <f t="shared" si="21"/>
        <v>-4.64669738863287E-2</v>
      </c>
      <c r="M41" s="64">
        <f t="shared" si="21"/>
        <v>-4.5507584597432871E-2</v>
      </c>
      <c r="N41" s="64">
        <f t="shared" si="21"/>
        <v>-4.6456692913385833E-2</v>
      </c>
      <c r="O41" s="64">
        <f t="shared" si="21"/>
        <v>-4.7353760445682402E-2</v>
      </c>
      <c r="P41" s="63">
        <f t="shared" ref="P41:Y41" si="22">P39/K39-1</f>
        <v>-4.7120418848167533E-2</v>
      </c>
      <c r="Q41" s="23">
        <f t="shared" si="22"/>
        <v>-4.7120418848167533E-2</v>
      </c>
      <c r="R41" s="64">
        <v>0.15</v>
      </c>
      <c r="S41" s="64">
        <f t="shared" si="22"/>
        <v>-2.725020644095788E-2</v>
      </c>
      <c r="T41" s="64">
        <f t="shared" si="22"/>
        <v>-1.294903926482871E-2</v>
      </c>
      <c r="U41" s="63">
        <f t="shared" si="22"/>
        <v>4.226542688081647E-4</v>
      </c>
      <c r="V41" s="23">
        <f t="shared" si="22"/>
        <v>4.226542688081647E-4</v>
      </c>
      <c r="W41" s="64">
        <f t="shared" si="22"/>
        <v>4.2408821034776167E-3</v>
      </c>
      <c r="X41" s="64">
        <f t="shared" si="22"/>
        <v>-8.9134125636671779E-3</v>
      </c>
      <c r="Y41" s="64">
        <f t="shared" si="22"/>
        <v>-2.7084214980956367E-2</v>
      </c>
      <c r="Z41" s="63">
        <f t="shared" ref="Z41:AI41" si="23">Z39/U39-1</f>
        <v>-4.1825095057034245E-2</v>
      </c>
      <c r="AA41" s="23">
        <f t="shared" si="23"/>
        <v>-4.1825095057034245E-2</v>
      </c>
      <c r="AB41" s="64">
        <f t="shared" si="23"/>
        <v>-5.3209459459459429E-2</v>
      </c>
      <c r="AC41" s="64">
        <f t="shared" si="23"/>
        <v>-4.7537473233404737E-2</v>
      </c>
      <c r="AD41" s="64">
        <f t="shared" si="23"/>
        <v>-3.3057851239669422E-2</v>
      </c>
      <c r="AE41" s="63">
        <f t="shared" si="23"/>
        <v>-2.2927689594356315E-2</v>
      </c>
      <c r="AF41" s="23">
        <f t="shared" si="23"/>
        <v>-2.2927689594356315E-2</v>
      </c>
      <c r="AG41" s="64">
        <f t="shared" si="23"/>
        <v>-1.2488849241748423E-2</v>
      </c>
      <c r="AH41" s="64">
        <f t="shared" si="23"/>
        <v>-8.5431654676259017E-3</v>
      </c>
      <c r="AI41" s="64">
        <f t="shared" si="23"/>
        <v>-8.0971659919027994E-3</v>
      </c>
      <c r="AJ41" s="63">
        <f t="shared" ref="AJ41:AS41" si="24">AJ39/AE39-1</f>
        <v>-4.9638989169674685E-3</v>
      </c>
      <c r="AK41" s="23">
        <f t="shared" si="24"/>
        <v>-4.9638989169674685E-3</v>
      </c>
      <c r="AL41" s="64">
        <f t="shared" si="24"/>
        <v>-4.0198735320686518E-2</v>
      </c>
      <c r="AM41" s="64">
        <f t="shared" si="24"/>
        <v>-3.990929705215418E-2</v>
      </c>
      <c r="AN41" s="64">
        <f t="shared" si="24"/>
        <v>-4.6258503401360507E-2</v>
      </c>
      <c r="AO41" s="63">
        <f t="shared" si="24"/>
        <v>-5.3514739229024944E-2</v>
      </c>
      <c r="AP41" s="23">
        <f t="shared" si="24"/>
        <v>-5.3514739229024944E-2</v>
      </c>
      <c r="AQ41" s="64">
        <f t="shared" si="24"/>
        <v>-2.6823529411764691E-2</v>
      </c>
      <c r="AR41" s="64">
        <f t="shared" si="24"/>
        <v>-3.1648559282002831E-2</v>
      </c>
      <c r="AS41" s="64">
        <f t="shared" si="24"/>
        <v>-3.4236804564907297E-2</v>
      </c>
      <c r="AT41" s="63">
        <f t="shared" ref="AT41:BT41" si="25">AT39/AO39-1</f>
        <v>-3.6895064686152335E-2</v>
      </c>
      <c r="AU41" s="23">
        <f t="shared" si="25"/>
        <v>-3.6895064686152335E-2</v>
      </c>
      <c r="AV41" s="64">
        <f t="shared" si="25"/>
        <v>-3.9651837524178002E-2</v>
      </c>
      <c r="AW41" s="64">
        <f t="shared" si="25"/>
        <v>-4.3414634146341502E-2</v>
      </c>
      <c r="AX41" s="64">
        <f t="shared" si="25"/>
        <v>-4.3820777941900535E-2</v>
      </c>
      <c r="AY41" s="63">
        <f t="shared" si="25"/>
        <v>-4.676616915422882E-2</v>
      </c>
      <c r="AZ41" s="23">
        <f t="shared" si="25"/>
        <v>-4.676616915422882E-2</v>
      </c>
      <c r="BA41" s="64">
        <f t="shared" si="25"/>
        <v>-4.8841893252769331E-2</v>
      </c>
      <c r="BB41" s="64">
        <f t="shared" si="25"/>
        <v>-4.8954614992350876E-2</v>
      </c>
      <c r="BC41" s="64">
        <f t="shared" si="25"/>
        <v>-5.09783728115345E-2</v>
      </c>
      <c r="BD41" s="63">
        <f t="shared" si="25"/>
        <v>-5.1148225469728636E-2</v>
      </c>
      <c r="BE41" s="23">
        <f t="shared" si="25"/>
        <v>-5.1148225469728636E-2</v>
      </c>
      <c r="BF41" s="64">
        <f t="shared" si="25"/>
        <v>-5.1349920592906328E-2</v>
      </c>
      <c r="BG41" s="64">
        <f t="shared" si="25"/>
        <v>-5.2010723860589803E-2</v>
      </c>
      <c r="BH41" s="64">
        <f t="shared" si="25"/>
        <v>-5.4259359739555091E-2</v>
      </c>
      <c r="BI41" s="63">
        <f t="shared" si="25"/>
        <v>-5.5005500550055042E-2</v>
      </c>
      <c r="BJ41" s="23">
        <f t="shared" si="25"/>
        <v>-5.5005500550055042E-2</v>
      </c>
      <c r="BK41" s="64">
        <f t="shared" si="25"/>
        <v>-5.5245535714285698E-2</v>
      </c>
      <c r="BL41" s="64">
        <f t="shared" si="25"/>
        <v>-5.2601809954751166E-2</v>
      </c>
      <c r="BM41" s="64">
        <f t="shared" si="25"/>
        <v>-5.1635111876075723E-2</v>
      </c>
      <c r="BN41" s="63">
        <f t="shared" si="25"/>
        <v>-4.5983701979045444E-2</v>
      </c>
      <c r="BO41" s="23">
        <f t="shared" si="25"/>
        <v>-4.5983701979045444E-2</v>
      </c>
      <c r="BP41" s="64">
        <f t="shared" si="25"/>
        <v>-3.7212049616066167E-2</v>
      </c>
      <c r="BQ41" s="64">
        <f t="shared" si="25"/>
        <v>-3.5820895522388096E-2</v>
      </c>
      <c r="BR41" s="64">
        <f t="shared" si="25"/>
        <v>-3.0852994555353952E-2</v>
      </c>
      <c r="BS41" s="63">
        <f t="shared" si="25"/>
        <v>-3.4167175106772474E-2</v>
      </c>
      <c r="BT41" s="23">
        <f t="shared" si="25"/>
        <v>-3.4167175106772474E-2</v>
      </c>
    </row>
    <row r="42" spans="1:202">
      <c r="A42" s="62" t="s">
        <v>155</v>
      </c>
      <c r="B42" s="23"/>
      <c r="C42" s="64"/>
      <c r="D42" s="64"/>
      <c r="E42" s="64"/>
      <c r="F42" s="64"/>
      <c r="G42" s="177">
        <f>G39-B39</f>
        <v>-145</v>
      </c>
      <c r="H42" s="64"/>
      <c r="I42" s="64"/>
      <c r="J42" s="64"/>
      <c r="K42" s="63"/>
      <c r="L42" s="177">
        <f>L39-G39</f>
        <v>-121</v>
      </c>
      <c r="M42" s="64"/>
      <c r="N42" s="64"/>
      <c r="O42" s="64"/>
      <c r="P42" s="63"/>
      <c r="Q42" s="177">
        <f>Q39-L39</f>
        <v>-117</v>
      </c>
      <c r="R42" s="64"/>
      <c r="S42" s="64"/>
      <c r="T42" s="64"/>
      <c r="U42" s="63"/>
      <c r="V42" s="289">
        <f>V39-Q39</f>
        <v>1</v>
      </c>
      <c r="W42" s="290"/>
      <c r="X42" s="290"/>
      <c r="Y42" s="290"/>
      <c r="Z42" s="291"/>
      <c r="AA42" s="289">
        <f>AA39-V39</f>
        <v>-99</v>
      </c>
      <c r="AB42" s="290"/>
      <c r="AC42" s="290"/>
      <c r="AD42" s="290"/>
      <c r="AE42" s="291"/>
      <c r="AF42" s="289">
        <f>AF39-AA39</f>
        <v>-52</v>
      </c>
      <c r="AG42" s="290"/>
      <c r="AH42" s="290"/>
      <c r="AI42" s="290"/>
      <c r="AJ42" s="291"/>
      <c r="AK42" s="289">
        <f>AK39-AF39</f>
        <v>-11</v>
      </c>
      <c r="AL42" s="292"/>
      <c r="AM42" s="292">
        <f>AM39-AL39</f>
        <v>-8</v>
      </c>
      <c r="AN42" s="292">
        <f>AN39-AM39</f>
        <v>-14</v>
      </c>
      <c r="AO42" s="292">
        <f>AO39-AN39</f>
        <v>-16</v>
      </c>
      <c r="AP42" s="289">
        <f>AP39-AK39</f>
        <v>-118</v>
      </c>
      <c r="AQ42" s="293">
        <f>AQ39-AO39</f>
        <v>-19</v>
      </c>
      <c r="AR42" s="293">
        <f>AR39-AQ39</f>
        <v>-18</v>
      </c>
      <c r="AS42" s="293">
        <f>AS39-AR39</f>
        <v>-19</v>
      </c>
      <c r="AT42" s="293">
        <f>AT39-AS39</f>
        <v>-21</v>
      </c>
      <c r="AU42" s="289">
        <f>AU39-AP39</f>
        <v>-77</v>
      </c>
      <c r="AV42" s="293">
        <f>AV39-AT39</f>
        <v>-24</v>
      </c>
      <c r="AW42" s="293">
        <f>AW39-AV39</f>
        <v>-25</v>
      </c>
      <c r="AX42" s="293">
        <f>AX39-AW39</f>
        <v>-19</v>
      </c>
      <c r="AY42" s="293">
        <f>AY39-AX39</f>
        <v>-26</v>
      </c>
      <c r="AZ42" s="289">
        <f>AZ39-AU39</f>
        <v>-94</v>
      </c>
      <c r="BA42" s="293">
        <f>BA39-AY39</f>
        <v>-27</v>
      </c>
      <c r="BB42" s="293">
        <f>BB39-BA39</f>
        <v>-24</v>
      </c>
      <c r="BC42" s="293">
        <f>BC39-BB39</f>
        <v>-22</v>
      </c>
      <c r="BD42" s="293">
        <f>BD39-BC39</f>
        <v>-25</v>
      </c>
      <c r="BE42" s="289">
        <f>BE39-AZ39</f>
        <v>-98</v>
      </c>
      <c r="BF42" s="293">
        <f>BF39-BD39</f>
        <v>-26</v>
      </c>
      <c r="BG42" s="293">
        <f>BG39-BF39</f>
        <v>-24</v>
      </c>
      <c r="BH42" s="293">
        <f>BH39-BG39</f>
        <v>-25</v>
      </c>
      <c r="BI42" s="293">
        <f>BI39-BH39</f>
        <v>-25</v>
      </c>
      <c r="BJ42" s="289">
        <f>BJ39-BE39</f>
        <v>-100</v>
      </c>
      <c r="BK42" s="293">
        <f>BK39-BI39</f>
        <v>-25</v>
      </c>
      <c r="BL42" s="293">
        <f>BL39-BK39</f>
        <v>-18</v>
      </c>
      <c r="BM42" s="293">
        <f>BM39-BL39</f>
        <v>-22</v>
      </c>
      <c r="BN42" s="293">
        <f>BN39-BM39</f>
        <v>-14</v>
      </c>
      <c r="BO42" s="289">
        <f>BO39-BJ39</f>
        <v>-79</v>
      </c>
      <c r="BP42" s="293">
        <f>BP39-BN39</f>
        <v>-9</v>
      </c>
      <c r="BQ42" s="293">
        <f>BQ39-BP39</f>
        <v>-15</v>
      </c>
      <c r="BR42" s="293">
        <f>BR39-BQ39</f>
        <v>-13</v>
      </c>
      <c r="BS42" s="293">
        <f>BS39-BR39</f>
        <v>-19</v>
      </c>
      <c r="BT42" s="289">
        <f>BT39-BO39</f>
        <v>-56</v>
      </c>
    </row>
    <row r="43" spans="1:202">
      <c r="A43" s="171" t="s">
        <v>154</v>
      </c>
      <c r="B43" s="89" t="s">
        <v>38</v>
      </c>
      <c r="C43" s="66">
        <v>114</v>
      </c>
      <c r="D43" s="66">
        <v>109</v>
      </c>
      <c r="E43" s="66">
        <v>113</v>
      </c>
      <c r="F43" s="66">
        <v>109</v>
      </c>
      <c r="G43" s="55">
        <v>111</v>
      </c>
      <c r="H43" s="66">
        <v>108</v>
      </c>
      <c r="I43" s="66">
        <v>108</v>
      </c>
      <c r="J43" s="66">
        <v>111</v>
      </c>
      <c r="K43" s="61">
        <v>110</v>
      </c>
      <c r="L43" s="27">
        <v>109</v>
      </c>
      <c r="M43" s="66">
        <v>106</v>
      </c>
      <c r="N43" s="66">
        <v>109</v>
      </c>
      <c r="O43" s="66">
        <v>109</v>
      </c>
      <c r="P43" s="61">
        <v>111</v>
      </c>
      <c r="Q43" s="27">
        <v>109</v>
      </c>
      <c r="R43" s="66">
        <v>87</v>
      </c>
      <c r="S43" s="66">
        <v>86</v>
      </c>
      <c r="T43" s="66">
        <v>87</v>
      </c>
      <c r="U43" s="61">
        <v>78</v>
      </c>
      <c r="V43" s="27">
        <v>85</v>
      </c>
      <c r="W43" s="66">
        <v>83</v>
      </c>
      <c r="X43" s="66">
        <v>81</v>
      </c>
      <c r="Y43" s="66">
        <v>80</v>
      </c>
      <c r="Z43" s="61">
        <v>78</v>
      </c>
      <c r="AA43" s="27">
        <v>81</v>
      </c>
      <c r="AB43" s="66">
        <v>75</v>
      </c>
      <c r="AC43" s="66">
        <v>75</v>
      </c>
      <c r="AD43" s="66">
        <v>73</v>
      </c>
      <c r="AE43" s="61">
        <v>70</v>
      </c>
      <c r="AF43" s="27">
        <v>74</v>
      </c>
      <c r="AG43" s="66">
        <v>64</v>
      </c>
      <c r="AH43" s="66">
        <v>63</v>
      </c>
      <c r="AI43" s="66">
        <v>63</v>
      </c>
      <c r="AJ43" s="61">
        <v>62</v>
      </c>
      <c r="AK43" s="27">
        <v>63</v>
      </c>
      <c r="AL43" s="66">
        <v>60</v>
      </c>
      <c r="AM43" s="66">
        <v>59</v>
      </c>
      <c r="AN43" s="66">
        <v>59</v>
      </c>
      <c r="AO43" s="61">
        <v>59</v>
      </c>
      <c r="AP43" s="27">
        <v>59</v>
      </c>
      <c r="AQ43" s="66">
        <v>58</v>
      </c>
      <c r="AR43" s="66">
        <v>57</v>
      </c>
      <c r="AS43" s="66">
        <v>57</v>
      </c>
      <c r="AT43" s="61">
        <v>55</v>
      </c>
      <c r="AU43" s="27">
        <v>57</v>
      </c>
      <c r="AV43" s="66">
        <v>56</v>
      </c>
      <c r="AW43" s="66">
        <v>54</v>
      </c>
      <c r="AX43" s="66">
        <v>54</v>
      </c>
      <c r="AY43" s="61">
        <v>53</v>
      </c>
      <c r="AZ43" s="27">
        <v>54</v>
      </c>
      <c r="BA43" s="66">
        <v>53</v>
      </c>
      <c r="BB43" s="66">
        <v>52</v>
      </c>
      <c r="BC43" s="66">
        <v>51</v>
      </c>
      <c r="BD43" s="61">
        <v>51</v>
      </c>
      <c r="BE43" s="27">
        <v>52</v>
      </c>
      <c r="BF43" s="66">
        <v>50</v>
      </c>
      <c r="BG43" s="66">
        <v>49</v>
      </c>
      <c r="BH43" s="66">
        <v>49</v>
      </c>
      <c r="BI43" s="61">
        <v>48</v>
      </c>
      <c r="BJ43" s="27">
        <v>49</v>
      </c>
      <c r="BK43" s="66">
        <v>48</v>
      </c>
      <c r="BL43" s="66">
        <v>51</v>
      </c>
      <c r="BM43" s="66">
        <v>51</v>
      </c>
      <c r="BN43" s="61">
        <v>50</v>
      </c>
      <c r="BO43" s="27">
        <v>50</v>
      </c>
      <c r="BP43" s="66">
        <v>49</v>
      </c>
      <c r="BQ43" s="66">
        <v>47</v>
      </c>
      <c r="BR43" s="66">
        <v>46</v>
      </c>
      <c r="BS43" s="61">
        <v>46</v>
      </c>
      <c r="BT43" s="27">
        <v>47</v>
      </c>
    </row>
    <row r="44" spans="1:202">
      <c r="A44" s="62" t="s">
        <v>7</v>
      </c>
      <c r="B44" s="23"/>
      <c r="C44" s="63"/>
      <c r="D44" s="63">
        <f>D43/C43-1</f>
        <v>-4.3859649122807043E-2</v>
      </c>
      <c r="E44" s="63">
        <f>E43/D43-1</f>
        <v>3.669724770642202E-2</v>
      </c>
      <c r="F44" s="63">
        <f>F43/E43-1</f>
        <v>-3.539823008849563E-2</v>
      </c>
      <c r="G44" s="23"/>
      <c r="H44" s="63">
        <f>H43/F43-1</f>
        <v>-9.1743119266054496E-3</v>
      </c>
      <c r="I44" s="63">
        <f>I43/H43-1</f>
        <v>0</v>
      </c>
      <c r="J44" s="63">
        <f>J43/I43-1</f>
        <v>2.7777777777777679E-2</v>
      </c>
      <c r="K44" s="63">
        <f>K43/J43-1</f>
        <v>-9.009009009009028E-3</v>
      </c>
      <c r="L44" s="26"/>
      <c r="M44" s="63">
        <f>M43/K43-1</f>
        <v>-3.6363636363636376E-2</v>
      </c>
      <c r="N44" s="63">
        <f>N43/M43-1</f>
        <v>2.8301886792452935E-2</v>
      </c>
      <c r="O44" s="63">
        <f>O43/N43-1</f>
        <v>0</v>
      </c>
      <c r="P44" s="63">
        <f>P43/O43-1</f>
        <v>1.8348623853210899E-2</v>
      </c>
      <c r="Q44" s="26"/>
      <c r="R44" s="63">
        <f>R43/P43-1</f>
        <v>-0.21621621621621623</v>
      </c>
      <c r="S44" s="63">
        <f>S43/R43-1</f>
        <v>-1.1494252873563204E-2</v>
      </c>
      <c r="T44" s="63">
        <f>T43/S43-1</f>
        <v>1.1627906976744207E-2</v>
      </c>
      <c r="U44" s="63">
        <f>U43/T43-1</f>
        <v>-0.10344827586206895</v>
      </c>
      <c r="V44" s="26"/>
      <c r="W44" s="63">
        <f>W43/U43-1</f>
        <v>6.4102564102564097E-2</v>
      </c>
      <c r="X44" s="63">
        <f>X43/W43-1</f>
        <v>-2.4096385542168641E-2</v>
      </c>
      <c r="Y44" s="63">
        <f>Y43/X43-1</f>
        <v>-1.2345679012345734E-2</v>
      </c>
      <c r="Z44" s="63">
        <f>Z43/Y43-1</f>
        <v>-2.5000000000000022E-2</v>
      </c>
      <c r="AA44" s="26"/>
      <c r="AB44" s="63">
        <f>AB43/Z43-1</f>
        <v>-3.8461538461538436E-2</v>
      </c>
      <c r="AC44" s="63">
        <f>AC43/AB43-1</f>
        <v>0</v>
      </c>
      <c r="AD44" s="63">
        <f>AD43/AC43-1</f>
        <v>-2.6666666666666616E-2</v>
      </c>
      <c r="AE44" s="63">
        <f>AE43/AD43-1</f>
        <v>-4.1095890410958957E-2</v>
      </c>
      <c r="AF44" s="26"/>
      <c r="AG44" s="63">
        <f>AG43/AE43-1</f>
        <v>-8.5714285714285743E-2</v>
      </c>
      <c r="AH44" s="63">
        <f>AH43/AG43-1</f>
        <v>-1.5625E-2</v>
      </c>
      <c r="AI44" s="63">
        <f>AI43/AH43-1</f>
        <v>0</v>
      </c>
      <c r="AJ44" s="63">
        <f>AJ43/AI43-1</f>
        <v>-1.5873015873015928E-2</v>
      </c>
      <c r="AK44" s="26"/>
      <c r="AL44" s="63">
        <f>AL43/AJ43-1</f>
        <v>-3.2258064516129004E-2</v>
      </c>
      <c r="AM44" s="63">
        <f>AM43/AL43-1</f>
        <v>-1.6666666666666718E-2</v>
      </c>
      <c r="AN44" s="63">
        <f>AN43/AM43-1</f>
        <v>0</v>
      </c>
      <c r="AO44" s="63">
        <f>AO43/AN43-1</f>
        <v>0</v>
      </c>
      <c r="AP44" s="26"/>
      <c r="AQ44" s="63">
        <f>AQ43/AO43-1</f>
        <v>-1.6949152542372836E-2</v>
      </c>
      <c r="AR44" s="63">
        <f>AR43/AQ43-1</f>
        <v>-1.7241379310344862E-2</v>
      </c>
      <c r="AS44" s="63">
        <f>AS43/AR43-1</f>
        <v>0</v>
      </c>
      <c r="AT44" s="63">
        <f>AT43/AS43-1</f>
        <v>-3.5087719298245612E-2</v>
      </c>
      <c r="AU44" s="26"/>
      <c r="AV44" s="63">
        <f>AV43/AT43-1</f>
        <v>1.8181818181818077E-2</v>
      </c>
      <c r="AW44" s="63">
        <f>AW43/AV43-1</f>
        <v>-3.5714285714285698E-2</v>
      </c>
      <c r="AX44" s="63">
        <f>AX43/AW43-1</f>
        <v>0</v>
      </c>
      <c r="AY44" s="63">
        <f>AY43/AX43-1</f>
        <v>-1.851851851851849E-2</v>
      </c>
      <c r="AZ44" s="26"/>
      <c r="BA44" s="63">
        <f>BA43/AY43-1</f>
        <v>0</v>
      </c>
      <c r="BB44" s="63">
        <f>BB43/BA43-1</f>
        <v>-1.8867924528301883E-2</v>
      </c>
      <c r="BC44" s="63">
        <f>BC43/BB43-1</f>
        <v>-1.9230769230769273E-2</v>
      </c>
      <c r="BD44" s="63">
        <f>BD43/BC43-1</f>
        <v>0</v>
      </c>
      <c r="BE44" s="26"/>
      <c r="BF44" s="63">
        <f>BF43/BD43-1</f>
        <v>-1.9607843137254943E-2</v>
      </c>
      <c r="BG44" s="63">
        <f>BG43/BF43-1</f>
        <v>-2.0000000000000018E-2</v>
      </c>
      <c r="BH44" s="63">
        <f>BH43/BG43-1</f>
        <v>0</v>
      </c>
      <c r="BI44" s="63">
        <f>BI43/BH43-1</f>
        <v>-2.0408163265306145E-2</v>
      </c>
      <c r="BJ44" s="26"/>
      <c r="BK44" s="63">
        <f>BK43/BI43-1</f>
        <v>0</v>
      </c>
      <c r="BL44" s="63">
        <f>BL43/BK43-1</f>
        <v>6.25E-2</v>
      </c>
      <c r="BM44" s="63">
        <f>BM43/BL43-1</f>
        <v>0</v>
      </c>
      <c r="BN44" s="63">
        <f>BN43/BM43-1</f>
        <v>-1.9607843137254943E-2</v>
      </c>
      <c r="BO44" s="26"/>
      <c r="BP44" s="63">
        <f>BP43/BN43-1</f>
        <v>-2.0000000000000018E-2</v>
      </c>
      <c r="BQ44" s="63">
        <f>BQ43/BP43-1</f>
        <v>-4.081632653061229E-2</v>
      </c>
      <c r="BR44" s="63">
        <f>BR43/BQ43-1</f>
        <v>-2.1276595744680882E-2</v>
      </c>
      <c r="BS44" s="63">
        <f>BS43/BR43-1</f>
        <v>0</v>
      </c>
      <c r="BT44" s="26"/>
    </row>
    <row r="45" spans="1:202">
      <c r="A45" s="62" t="s">
        <v>8</v>
      </c>
      <c r="B45" s="23"/>
      <c r="C45" s="64"/>
      <c r="D45" s="64"/>
      <c r="E45" s="64"/>
      <c r="F45" s="64"/>
      <c r="G45" s="23"/>
      <c r="H45" s="64">
        <f t="shared" ref="H45:AI45" si="26">H43/C43-1</f>
        <v>-5.2631578947368474E-2</v>
      </c>
      <c r="I45" s="64">
        <f t="shared" si="26"/>
        <v>-9.1743119266054496E-3</v>
      </c>
      <c r="J45" s="64">
        <f t="shared" si="26"/>
        <v>-1.7699115044247815E-2</v>
      </c>
      <c r="K45" s="63">
        <f t="shared" si="26"/>
        <v>9.1743119266054496E-3</v>
      </c>
      <c r="L45" s="23">
        <f t="shared" si="26"/>
        <v>-1.8018018018018056E-2</v>
      </c>
      <c r="M45" s="64">
        <f t="shared" si="26"/>
        <v>-1.851851851851849E-2</v>
      </c>
      <c r="N45" s="64">
        <f t="shared" si="26"/>
        <v>9.2592592592593004E-3</v>
      </c>
      <c r="O45" s="64">
        <f t="shared" si="26"/>
        <v>-1.8018018018018056E-2</v>
      </c>
      <c r="P45" s="63">
        <f t="shared" si="26"/>
        <v>9.0909090909090384E-3</v>
      </c>
      <c r="Q45" s="23">
        <f t="shared" si="26"/>
        <v>0</v>
      </c>
      <c r="R45" s="64">
        <f t="shared" si="26"/>
        <v>-0.17924528301886788</v>
      </c>
      <c r="S45" s="64">
        <f t="shared" si="26"/>
        <v>-0.21100917431192656</v>
      </c>
      <c r="T45" s="64">
        <f t="shared" si="26"/>
        <v>-0.20183486238532111</v>
      </c>
      <c r="U45" s="63">
        <f t="shared" si="26"/>
        <v>-0.29729729729729726</v>
      </c>
      <c r="V45" s="23">
        <f t="shared" si="26"/>
        <v>-0.22018348623853212</v>
      </c>
      <c r="W45" s="64">
        <f t="shared" si="26"/>
        <v>-4.5977011494252928E-2</v>
      </c>
      <c r="X45" s="64">
        <f t="shared" si="26"/>
        <v>-5.8139534883720922E-2</v>
      </c>
      <c r="Y45" s="64">
        <f t="shared" si="26"/>
        <v>-8.0459770114942541E-2</v>
      </c>
      <c r="Z45" s="63">
        <f t="shared" si="26"/>
        <v>0</v>
      </c>
      <c r="AA45" s="23">
        <f t="shared" si="26"/>
        <v>-4.705882352941182E-2</v>
      </c>
      <c r="AB45" s="64">
        <f t="shared" si="26"/>
        <v>-9.6385542168674676E-2</v>
      </c>
      <c r="AC45" s="64">
        <f t="shared" si="26"/>
        <v>-7.407407407407407E-2</v>
      </c>
      <c r="AD45" s="64">
        <f t="shared" si="26"/>
        <v>-8.7500000000000022E-2</v>
      </c>
      <c r="AE45" s="63">
        <f t="shared" si="26"/>
        <v>-0.10256410256410253</v>
      </c>
      <c r="AF45" s="23">
        <f t="shared" si="26"/>
        <v>-8.6419753086419804E-2</v>
      </c>
      <c r="AG45" s="64">
        <f t="shared" si="26"/>
        <v>-0.14666666666666661</v>
      </c>
      <c r="AH45" s="64">
        <f t="shared" si="26"/>
        <v>-0.16000000000000003</v>
      </c>
      <c r="AI45" s="64">
        <f t="shared" si="26"/>
        <v>-0.13698630136986301</v>
      </c>
      <c r="AJ45" s="63">
        <f t="shared" ref="AJ45:AS45" si="27">AJ43/AE43-1</f>
        <v>-0.11428571428571432</v>
      </c>
      <c r="AK45" s="23">
        <f t="shared" si="27"/>
        <v>-0.14864864864864868</v>
      </c>
      <c r="AL45" s="64">
        <f t="shared" si="27"/>
        <v>-6.25E-2</v>
      </c>
      <c r="AM45" s="64">
        <f t="shared" si="27"/>
        <v>-6.3492063492063489E-2</v>
      </c>
      <c r="AN45" s="64">
        <f t="shared" si="27"/>
        <v>-6.3492063492063489E-2</v>
      </c>
      <c r="AO45" s="63">
        <f t="shared" si="27"/>
        <v>-4.8387096774193505E-2</v>
      </c>
      <c r="AP45" s="23">
        <f t="shared" si="27"/>
        <v>-6.3492063492063489E-2</v>
      </c>
      <c r="AQ45" s="64">
        <f t="shared" si="27"/>
        <v>-3.3333333333333326E-2</v>
      </c>
      <c r="AR45" s="64">
        <f t="shared" si="27"/>
        <v>-3.3898305084745783E-2</v>
      </c>
      <c r="AS45" s="64">
        <f t="shared" si="27"/>
        <v>-3.3898305084745783E-2</v>
      </c>
      <c r="AT45" s="63">
        <f t="shared" ref="AT45:BT45" si="28">AT43/AO43-1</f>
        <v>-6.7796610169491567E-2</v>
      </c>
      <c r="AU45" s="23">
        <f t="shared" si="28"/>
        <v>-3.3898305084745783E-2</v>
      </c>
      <c r="AV45" s="64">
        <f t="shared" si="28"/>
        <v>-3.4482758620689613E-2</v>
      </c>
      <c r="AW45" s="64">
        <f t="shared" si="28"/>
        <v>-5.2631578947368474E-2</v>
      </c>
      <c r="AX45" s="64">
        <f t="shared" si="28"/>
        <v>-5.2631578947368474E-2</v>
      </c>
      <c r="AY45" s="63">
        <f t="shared" si="28"/>
        <v>-3.6363636363636376E-2</v>
      </c>
      <c r="AZ45" s="23">
        <f t="shared" si="28"/>
        <v>-5.2631578947368474E-2</v>
      </c>
      <c r="BA45" s="64">
        <f t="shared" si="28"/>
        <v>-5.3571428571428603E-2</v>
      </c>
      <c r="BB45" s="64">
        <f t="shared" si="28"/>
        <v>-3.703703703703709E-2</v>
      </c>
      <c r="BC45" s="64">
        <f t="shared" si="28"/>
        <v>-5.555555555555558E-2</v>
      </c>
      <c r="BD45" s="63">
        <f t="shared" si="28"/>
        <v>-3.7735849056603765E-2</v>
      </c>
      <c r="BE45" s="23">
        <f t="shared" si="28"/>
        <v>-3.703703703703709E-2</v>
      </c>
      <c r="BF45" s="64">
        <f t="shared" si="28"/>
        <v>-5.6603773584905648E-2</v>
      </c>
      <c r="BG45" s="64">
        <f t="shared" si="28"/>
        <v>-5.7692307692307709E-2</v>
      </c>
      <c r="BH45" s="64">
        <f t="shared" si="28"/>
        <v>-3.9215686274509776E-2</v>
      </c>
      <c r="BI45" s="63">
        <f t="shared" si="28"/>
        <v>-5.8823529411764719E-2</v>
      </c>
      <c r="BJ45" s="23">
        <f t="shared" si="28"/>
        <v>-5.7692307692307709E-2</v>
      </c>
      <c r="BK45" s="64">
        <f t="shared" si="28"/>
        <v>-4.0000000000000036E-2</v>
      </c>
      <c r="BL45" s="64">
        <f t="shared" si="28"/>
        <v>4.081632653061229E-2</v>
      </c>
      <c r="BM45" s="64">
        <f t="shared" si="28"/>
        <v>4.081632653061229E-2</v>
      </c>
      <c r="BN45" s="63">
        <f t="shared" si="28"/>
        <v>4.1666666666666741E-2</v>
      </c>
      <c r="BO45" s="23">
        <f t="shared" si="28"/>
        <v>2.0408163265306145E-2</v>
      </c>
      <c r="BP45" s="64">
        <f t="shared" si="28"/>
        <v>2.0833333333333259E-2</v>
      </c>
      <c r="BQ45" s="64">
        <f t="shared" si="28"/>
        <v>-7.8431372549019662E-2</v>
      </c>
      <c r="BR45" s="64">
        <f t="shared" si="28"/>
        <v>-9.8039215686274495E-2</v>
      </c>
      <c r="BS45" s="63">
        <f t="shared" si="28"/>
        <v>-7.999999999999996E-2</v>
      </c>
      <c r="BT45" s="23">
        <f t="shared" si="28"/>
        <v>-6.0000000000000053E-2</v>
      </c>
    </row>
    <row r="46" spans="1:202">
      <c r="A46" s="60" t="s">
        <v>129</v>
      </c>
      <c r="B46" s="37">
        <v>9.5000000000000001E-2</v>
      </c>
      <c r="C46" s="80">
        <v>3.6999999999999998E-2</v>
      </c>
      <c r="D46" s="80">
        <v>2.8000000000000001E-2</v>
      </c>
      <c r="E46" s="80">
        <v>3.1E-2</v>
      </c>
      <c r="F46" s="80">
        <v>2.9000000000000001E-2</v>
      </c>
      <c r="G46" s="89" t="s">
        <v>38</v>
      </c>
      <c r="H46" s="106" t="s">
        <v>35</v>
      </c>
      <c r="I46" s="106" t="s">
        <v>35</v>
      </c>
      <c r="J46" s="106" t="s">
        <v>35</v>
      </c>
      <c r="K46" s="106" t="s">
        <v>35</v>
      </c>
      <c r="L46" s="89" t="s">
        <v>38</v>
      </c>
      <c r="M46" s="106" t="s">
        <v>35</v>
      </c>
      <c r="N46" s="106" t="s">
        <v>35</v>
      </c>
      <c r="O46" s="106" t="s">
        <v>35</v>
      </c>
      <c r="P46" s="106" t="s">
        <v>35</v>
      </c>
      <c r="Q46" s="89" t="s">
        <v>38</v>
      </c>
      <c r="R46" s="80">
        <v>3.3000000000000002E-2</v>
      </c>
      <c r="S46" s="80">
        <v>2.8000000000000001E-2</v>
      </c>
      <c r="T46" s="80">
        <v>2.8000000000000001E-2</v>
      </c>
      <c r="U46" s="80">
        <v>2.8000000000000001E-2</v>
      </c>
      <c r="V46" s="37">
        <v>0.11600000000000001</v>
      </c>
      <c r="W46" s="80">
        <v>3.2000000000000001E-2</v>
      </c>
      <c r="X46" s="80">
        <v>3.9E-2</v>
      </c>
      <c r="Y46" s="80">
        <v>4.2000000000000003E-2</v>
      </c>
      <c r="Z46" s="80">
        <v>0.04</v>
      </c>
      <c r="AA46" s="37">
        <v>0.153</v>
      </c>
      <c r="AB46" s="80">
        <v>3.6999999999999998E-2</v>
      </c>
      <c r="AC46" s="80">
        <v>3.5000000000000003E-2</v>
      </c>
      <c r="AD46" s="80">
        <v>2.8000000000000001E-2</v>
      </c>
      <c r="AE46" s="80">
        <f>AF46-AD46-AC46-AB46</f>
        <v>3.1000000000000007E-2</v>
      </c>
      <c r="AF46" s="37">
        <v>0.13100000000000001</v>
      </c>
      <c r="AG46" s="80">
        <v>0.03</v>
      </c>
      <c r="AH46" s="80">
        <v>2.8000000000000001E-2</v>
      </c>
      <c r="AI46" s="80">
        <v>2.8000000000000001E-2</v>
      </c>
      <c r="AJ46" s="80">
        <v>2.5000000000000001E-2</v>
      </c>
      <c r="AK46" s="37">
        <v>0.111</v>
      </c>
      <c r="AL46" s="80">
        <v>2.4E-2</v>
      </c>
      <c r="AM46" s="80">
        <v>2.4E-2</v>
      </c>
      <c r="AN46" s="80">
        <v>2.5999999999999999E-2</v>
      </c>
      <c r="AO46" s="80">
        <v>2.7E-2</v>
      </c>
      <c r="AP46" s="37">
        <v>0.10100000000000001</v>
      </c>
      <c r="AQ46" s="80">
        <v>2.8000000000000001E-2</v>
      </c>
      <c r="AR46" s="80">
        <v>2.4E-2</v>
      </c>
      <c r="AS46" s="80">
        <v>2.5999999999999999E-2</v>
      </c>
      <c r="AT46" s="80">
        <v>2.4E-2</v>
      </c>
      <c r="AU46" s="37">
        <v>0.10199999999999999</v>
      </c>
      <c r="AV46" s="80">
        <v>2.7E-2</v>
      </c>
      <c r="AW46" s="80">
        <v>2.4E-2</v>
      </c>
      <c r="AX46" s="80">
        <v>2.3E-2</v>
      </c>
      <c r="AY46" s="80">
        <v>2.4E-2</v>
      </c>
      <c r="AZ46" s="37">
        <v>9.8000000000000004E-2</v>
      </c>
      <c r="BA46" s="80">
        <v>0.03</v>
      </c>
      <c r="BB46" s="80">
        <v>2.8000000000000001E-2</v>
      </c>
      <c r="BC46" s="80">
        <v>2.7E-2</v>
      </c>
      <c r="BD46" s="80">
        <v>3.1E-2</v>
      </c>
      <c r="BE46" s="37">
        <v>0.11600000000000001</v>
      </c>
      <c r="BF46" s="80">
        <v>0.03</v>
      </c>
      <c r="BG46" s="80">
        <v>2.7E-2</v>
      </c>
      <c r="BH46" s="80">
        <v>0.03</v>
      </c>
      <c r="BI46" s="80">
        <v>2.9000000000000001E-2</v>
      </c>
      <c r="BJ46" s="37">
        <v>0.11700000000000001</v>
      </c>
      <c r="BK46" s="80">
        <v>3.2000000000000001E-2</v>
      </c>
      <c r="BL46" s="80">
        <v>2.7E-2</v>
      </c>
      <c r="BM46" s="80">
        <v>3.4000000000000002E-2</v>
      </c>
      <c r="BN46" s="80">
        <f>BO46-BM46-BL46-BK46</f>
        <v>3.2000000000000001E-2</v>
      </c>
      <c r="BO46" s="37">
        <v>0.125</v>
      </c>
      <c r="BP46" s="80">
        <v>2.8000000000000001E-2</v>
      </c>
      <c r="BQ46" s="80">
        <v>2.5999999999999999E-2</v>
      </c>
      <c r="BR46" s="80">
        <v>2.4E-2</v>
      </c>
      <c r="BS46" s="80">
        <f>BT46-BR46-BQ46-BP46</f>
        <v>2.7999999999999994E-2</v>
      </c>
      <c r="BT46" s="37">
        <v>0.106</v>
      </c>
    </row>
    <row r="47" spans="1:202" ht="8.25" customHeight="1">
      <c r="A47" s="62"/>
      <c r="B47" s="23"/>
      <c r="C47" s="64"/>
      <c r="D47" s="64"/>
      <c r="E47" s="64"/>
      <c r="F47" s="64"/>
      <c r="G47" s="23"/>
      <c r="H47" s="64"/>
      <c r="I47" s="64"/>
      <c r="J47" s="64"/>
      <c r="K47" s="63"/>
      <c r="L47" s="23"/>
      <c r="M47" s="64"/>
      <c r="N47" s="64"/>
      <c r="O47" s="64"/>
      <c r="P47" s="63"/>
      <c r="Q47" s="23"/>
      <c r="R47" s="64"/>
      <c r="S47" s="64"/>
      <c r="T47" s="64"/>
      <c r="U47" s="63"/>
      <c r="V47" s="23"/>
      <c r="W47" s="64"/>
      <c r="X47" s="64"/>
      <c r="Y47" s="64"/>
      <c r="Z47" s="63"/>
      <c r="AA47" s="23"/>
      <c r="AB47" s="64"/>
      <c r="AC47" s="64"/>
      <c r="AD47" s="64"/>
      <c r="AE47" s="63"/>
      <c r="AF47" s="23"/>
      <c r="AG47" s="64"/>
      <c r="AH47" s="64"/>
      <c r="AI47" s="64"/>
      <c r="AJ47" s="63"/>
      <c r="AK47" s="23"/>
      <c r="AL47" s="64"/>
      <c r="AM47" s="64"/>
      <c r="AN47" s="64"/>
      <c r="AO47" s="63"/>
      <c r="AP47" s="23"/>
      <c r="AQ47" s="64"/>
      <c r="AR47" s="64"/>
      <c r="AS47" s="64"/>
      <c r="AT47" s="63"/>
      <c r="AU47" s="23"/>
      <c r="AV47" s="64"/>
      <c r="AW47" s="64"/>
      <c r="AX47" s="64"/>
      <c r="AY47" s="63"/>
      <c r="AZ47" s="23"/>
      <c r="BA47" s="64"/>
      <c r="BB47" s="64"/>
      <c r="BC47" s="64"/>
      <c r="BD47" s="63"/>
      <c r="BE47" s="23"/>
      <c r="BF47" s="64"/>
      <c r="BG47" s="64"/>
      <c r="BH47" s="64"/>
      <c r="BI47" s="63"/>
      <c r="BJ47" s="23"/>
      <c r="BK47" s="64"/>
      <c r="BL47" s="64"/>
      <c r="BM47" s="64"/>
      <c r="BN47" s="63"/>
      <c r="BO47" s="23"/>
      <c r="BP47" s="64"/>
      <c r="BQ47" s="64"/>
      <c r="BR47" s="64"/>
      <c r="BS47" s="63"/>
      <c r="BT47" s="23"/>
    </row>
    <row r="48" spans="1:202">
      <c r="A48" s="60" t="s">
        <v>57</v>
      </c>
      <c r="B48" s="35">
        <v>14711</v>
      </c>
      <c r="C48" s="61">
        <v>3473</v>
      </c>
      <c r="D48" s="61">
        <v>3306</v>
      </c>
      <c r="E48" s="61">
        <v>3379</v>
      </c>
      <c r="F48" s="61">
        <v>3103</v>
      </c>
      <c r="G48" s="35">
        <v>13260</v>
      </c>
      <c r="H48" s="61">
        <v>3077</v>
      </c>
      <c r="I48" s="61">
        <v>2972</v>
      </c>
      <c r="J48" s="61">
        <v>3051</v>
      </c>
      <c r="K48" s="61">
        <v>2917</v>
      </c>
      <c r="L48" s="35">
        <v>12017</v>
      </c>
      <c r="M48" s="61">
        <v>2732</v>
      </c>
      <c r="N48" s="61">
        <v>2717</v>
      </c>
      <c r="O48" s="61">
        <v>2629</v>
      </c>
      <c r="P48" s="61">
        <v>2621</v>
      </c>
      <c r="Q48" s="35">
        <v>10699</v>
      </c>
      <c r="R48" s="61">
        <v>2521</v>
      </c>
      <c r="S48" s="61">
        <v>2415</v>
      </c>
      <c r="T48" s="61">
        <v>2482</v>
      </c>
      <c r="U48" s="61">
        <v>2339</v>
      </c>
      <c r="V48" s="35">
        <v>9758</v>
      </c>
      <c r="W48" s="61">
        <v>2360</v>
      </c>
      <c r="X48" s="61">
        <v>2228</v>
      </c>
      <c r="Y48" s="61">
        <v>2127</v>
      </c>
      <c r="Z48" s="61">
        <v>1979</v>
      </c>
      <c r="AA48" s="35">
        <v>8694</v>
      </c>
      <c r="AB48" s="61">
        <v>1788</v>
      </c>
      <c r="AC48" s="61">
        <v>1805</v>
      </c>
      <c r="AD48" s="61">
        <v>1712</v>
      </c>
      <c r="AE48" s="61">
        <f>AF48-AD48-AC48-AB48</f>
        <v>1742</v>
      </c>
      <c r="AF48" s="35">
        <v>7047</v>
      </c>
      <c r="AG48" s="61">
        <v>1608</v>
      </c>
      <c r="AH48" s="61">
        <v>1522</v>
      </c>
      <c r="AI48" s="61">
        <v>1588</v>
      </c>
      <c r="AJ48" s="61">
        <f>AK48-AI48-AH48-AG48</f>
        <v>1482</v>
      </c>
      <c r="AK48" s="35">
        <v>6200</v>
      </c>
      <c r="AL48" s="61">
        <v>1459</v>
      </c>
      <c r="AM48" s="61">
        <v>1396</v>
      </c>
      <c r="AN48" s="61">
        <v>1373</v>
      </c>
      <c r="AO48" s="61">
        <f>AP48-AN48-AM48-AL48</f>
        <v>1379</v>
      </c>
      <c r="AP48" s="35">
        <v>5607</v>
      </c>
      <c r="AQ48" s="61">
        <v>1316</v>
      </c>
      <c r="AR48" s="61">
        <v>1257</v>
      </c>
      <c r="AS48" s="61">
        <v>1297</v>
      </c>
      <c r="AT48" s="61">
        <f>AU48-AS48-AR48-AQ48</f>
        <v>1136</v>
      </c>
      <c r="AU48" s="35">
        <v>5006</v>
      </c>
      <c r="AV48" s="61">
        <v>1177</v>
      </c>
      <c r="AW48" s="61">
        <v>1098</v>
      </c>
      <c r="AX48" s="61">
        <v>1132</v>
      </c>
      <c r="AY48" s="61">
        <f>AZ48-AX48-AW48-AV48</f>
        <v>1068</v>
      </c>
      <c r="AZ48" s="35">
        <v>4475</v>
      </c>
      <c r="BA48" s="61">
        <v>1055</v>
      </c>
      <c r="BB48" s="61">
        <v>1010</v>
      </c>
      <c r="BC48" s="61">
        <v>960</v>
      </c>
      <c r="BD48" s="61">
        <f>BE48-BC48-BB48-BA48</f>
        <v>989</v>
      </c>
      <c r="BE48" s="35">
        <v>4014</v>
      </c>
      <c r="BF48" s="61">
        <v>926</v>
      </c>
      <c r="BG48" s="61">
        <v>865</v>
      </c>
      <c r="BH48" s="61">
        <v>888</v>
      </c>
      <c r="BI48" s="61">
        <f>BJ48-BH48-BG48-BF48</f>
        <v>820</v>
      </c>
      <c r="BJ48" s="35">
        <v>3499</v>
      </c>
      <c r="BK48" s="61">
        <v>883</v>
      </c>
      <c r="BL48" s="61">
        <v>1079</v>
      </c>
      <c r="BM48" s="61">
        <v>1019</v>
      </c>
      <c r="BN48" s="61">
        <f>BO48-BM48-BL48-BK48</f>
        <v>1004</v>
      </c>
      <c r="BO48" s="35">
        <v>3985</v>
      </c>
      <c r="BP48" s="61">
        <v>965</v>
      </c>
      <c r="BQ48" s="61">
        <v>827</v>
      </c>
      <c r="BR48" s="61">
        <v>782</v>
      </c>
      <c r="BS48" s="61">
        <f>BT48-BR48-BQ48-BP48</f>
        <v>811</v>
      </c>
      <c r="BT48" s="35">
        <v>3385</v>
      </c>
    </row>
    <row r="49" spans="1:202">
      <c r="A49" s="62" t="s">
        <v>7</v>
      </c>
      <c r="B49" s="23"/>
      <c r="C49" s="63"/>
      <c r="D49" s="63">
        <f>D48/C48-1</f>
        <v>-4.8085228908724464E-2</v>
      </c>
      <c r="E49" s="63">
        <f>E48/D48-1</f>
        <v>2.2081064730792521E-2</v>
      </c>
      <c r="F49" s="63">
        <f>F48/E48-1</f>
        <v>-8.1680970701390909E-2</v>
      </c>
      <c r="G49" s="23"/>
      <c r="H49" s="63">
        <f>H48/F48-1</f>
        <v>-8.3789880760554158E-3</v>
      </c>
      <c r="I49" s="63">
        <f>I48/H48-1</f>
        <v>-3.412414689632759E-2</v>
      </c>
      <c r="J49" s="63">
        <f>J48/I48-1</f>
        <v>2.6581426648721429E-2</v>
      </c>
      <c r="K49" s="63">
        <f>K48/J48-1</f>
        <v>-4.3920026220911179E-2</v>
      </c>
      <c r="L49" s="26"/>
      <c r="M49" s="63">
        <f>M48/K48-1</f>
        <v>-6.3421323277339736E-2</v>
      </c>
      <c r="N49" s="63">
        <f>N48/M48-1</f>
        <v>-5.4904831625183226E-3</v>
      </c>
      <c r="O49" s="63">
        <f>O48/N48-1</f>
        <v>-3.2388663967611309E-2</v>
      </c>
      <c r="P49" s="63">
        <f>P48/O48-1</f>
        <v>-3.042982122479998E-3</v>
      </c>
      <c r="Q49" s="26"/>
      <c r="R49" s="63">
        <f>R48/P48-1</f>
        <v>-3.815337657382678E-2</v>
      </c>
      <c r="S49" s="63">
        <f>S48/R48-1</f>
        <v>-4.2046806822689464E-2</v>
      </c>
      <c r="T49" s="63">
        <f>T48/S48-1</f>
        <v>2.7743271221532195E-2</v>
      </c>
      <c r="U49" s="63">
        <f>U48/T48-1</f>
        <v>-5.7614826752618864E-2</v>
      </c>
      <c r="V49" s="26"/>
      <c r="W49" s="63">
        <f>W48/U48-1</f>
        <v>8.9781958101753379E-3</v>
      </c>
      <c r="X49" s="63">
        <f>X48/W48-1</f>
        <v>-5.5932203389830515E-2</v>
      </c>
      <c r="Y49" s="63">
        <f>Y48/X48-1</f>
        <v>-4.5332136445242366E-2</v>
      </c>
      <c r="Z49" s="63">
        <f>Z48/Y48-1</f>
        <v>-6.9581570286788907E-2</v>
      </c>
      <c r="AA49" s="26"/>
      <c r="AB49" s="63">
        <f>AB48/Z48-1</f>
        <v>-9.6513390601313809E-2</v>
      </c>
      <c r="AC49" s="63">
        <f>AC48/AB48-1</f>
        <v>9.5078299776285569E-3</v>
      </c>
      <c r="AD49" s="63">
        <f>AD48/AC48-1</f>
        <v>-5.1523545706371188E-2</v>
      </c>
      <c r="AE49" s="63">
        <f>AE48/AD48-1</f>
        <v>1.7523364485981352E-2</v>
      </c>
      <c r="AF49" s="26"/>
      <c r="AG49" s="63">
        <f>AG48/AE48-1</f>
        <v>-7.6923076923076872E-2</v>
      </c>
      <c r="AH49" s="63">
        <f>AH48/AG48-1</f>
        <v>-5.3482587064676568E-2</v>
      </c>
      <c r="AI49" s="63">
        <f>AI48/AH48-1</f>
        <v>4.3363994743758294E-2</v>
      </c>
      <c r="AJ49" s="63">
        <f>AJ48/AI48-1</f>
        <v>-6.6750629722921895E-2</v>
      </c>
      <c r="AK49" s="26"/>
      <c r="AL49" s="63">
        <f>AL48/AJ48-1</f>
        <v>-1.5519568151147078E-2</v>
      </c>
      <c r="AM49" s="63">
        <f>AM48/AL48-1</f>
        <v>-4.3180260452364672E-2</v>
      </c>
      <c r="AN49" s="63">
        <f>AN48/AM48-1</f>
        <v>-1.6475644699140424E-2</v>
      </c>
      <c r="AO49" s="63">
        <f>AO48/AN48-1</f>
        <v>4.3699927166787056E-3</v>
      </c>
      <c r="AP49" s="26"/>
      <c r="AQ49" s="63">
        <f>AQ48/AO48-1</f>
        <v>-4.5685279187817285E-2</v>
      </c>
      <c r="AR49" s="63">
        <f>AR48/AQ48-1</f>
        <v>-4.4832826747720378E-2</v>
      </c>
      <c r="AS49" s="63">
        <f>AS48/AR48-1</f>
        <v>3.1821797931583129E-2</v>
      </c>
      <c r="AT49" s="63">
        <f>AT48/AS48-1</f>
        <v>-0.12413261372397844</v>
      </c>
      <c r="AU49" s="26"/>
      <c r="AV49" s="63">
        <f>AV48/AT48-1</f>
        <v>3.6091549295774739E-2</v>
      </c>
      <c r="AW49" s="63">
        <f>AW48/AV48-1</f>
        <v>-6.7119796091758666E-2</v>
      </c>
      <c r="AX49" s="63">
        <f>AX48/AW48-1</f>
        <v>3.0965391621129434E-2</v>
      </c>
      <c r="AY49" s="63">
        <f>AY48/AX48-1</f>
        <v>-5.6537102473498191E-2</v>
      </c>
      <c r="AZ49" s="26"/>
      <c r="BA49" s="63">
        <f>BA48/AY48-1</f>
        <v>-1.2172284644194731E-2</v>
      </c>
      <c r="BB49" s="63">
        <f>BB48/BA48-1</f>
        <v>-4.2654028436018954E-2</v>
      </c>
      <c r="BC49" s="63">
        <f>BC48/BB48-1</f>
        <v>-4.9504950495049549E-2</v>
      </c>
      <c r="BD49" s="63">
        <f>BD48/BC48-1</f>
        <v>3.0208333333333393E-2</v>
      </c>
      <c r="BE49" s="26"/>
      <c r="BF49" s="63">
        <f>BF48/BD48-1</f>
        <v>-6.3700707785642074E-2</v>
      </c>
      <c r="BG49" s="63">
        <f>BG48/BF48-1</f>
        <v>-6.5874730021598271E-2</v>
      </c>
      <c r="BH49" s="63">
        <f>BH48/BG48-1</f>
        <v>2.6589595375722475E-2</v>
      </c>
      <c r="BI49" s="63">
        <f>BI48/BH48-1</f>
        <v>-7.6576576576576572E-2</v>
      </c>
      <c r="BJ49" s="26"/>
      <c r="BK49" s="63">
        <f>BK48/BI48-1</f>
        <v>7.6829268292682995E-2</v>
      </c>
      <c r="BL49" s="63">
        <f>BL48/BK48-1</f>
        <v>0.22197055492638729</v>
      </c>
      <c r="BM49" s="63">
        <f>BM48/BL48-1</f>
        <v>-5.5607043558850822E-2</v>
      </c>
      <c r="BN49" s="63">
        <f>BN48/BM48-1</f>
        <v>-1.4720314033366044E-2</v>
      </c>
      <c r="BO49" s="26"/>
      <c r="BP49" s="63">
        <f>BP48/BN48-1</f>
        <v>-3.8844621513944189E-2</v>
      </c>
      <c r="BQ49" s="63">
        <f>BQ48/BP48-1</f>
        <v>-0.14300518134715023</v>
      </c>
      <c r="BR49" s="63">
        <f>BR48/BQ48-1</f>
        <v>-5.4413542926239455E-2</v>
      </c>
      <c r="BS49" s="63">
        <f>BS48/BR48-1</f>
        <v>3.7084398976982014E-2</v>
      </c>
      <c r="BT49" s="26"/>
    </row>
    <row r="50" spans="1:202">
      <c r="A50" s="62" t="s">
        <v>8</v>
      </c>
      <c r="B50" s="23"/>
      <c r="C50" s="64"/>
      <c r="D50" s="64"/>
      <c r="E50" s="64"/>
      <c r="F50" s="64"/>
      <c r="G50" s="23">
        <f t="shared" ref="G50:N50" si="29">G48/B48-1</f>
        <v>-9.8633675480932603E-2</v>
      </c>
      <c r="H50" s="64">
        <f t="shared" si="29"/>
        <v>-0.11402245896919094</v>
      </c>
      <c r="I50" s="64">
        <f t="shared" si="29"/>
        <v>-0.10102843315184518</v>
      </c>
      <c r="J50" s="64">
        <f t="shared" si="29"/>
        <v>-9.7070139094406649E-2</v>
      </c>
      <c r="K50" s="63">
        <f t="shared" si="29"/>
        <v>-5.9941991621011881E-2</v>
      </c>
      <c r="L50" s="23">
        <f t="shared" si="29"/>
        <v>-9.3740573152337858E-2</v>
      </c>
      <c r="M50" s="64">
        <f t="shared" si="29"/>
        <v>-0.11212219694507641</v>
      </c>
      <c r="N50" s="64">
        <f t="shared" si="29"/>
        <v>-8.5800807537012136E-2</v>
      </c>
      <c r="O50" s="64">
        <f t="shared" ref="O50:Y50" si="30">O48/J48-1</f>
        <v>-0.13831530645689938</v>
      </c>
      <c r="P50" s="63">
        <f t="shared" si="30"/>
        <v>-0.10147411724374356</v>
      </c>
      <c r="Q50" s="23">
        <f t="shared" si="30"/>
        <v>-0.10967795622867604</v>
      </c>
      <c r="R50" s="64">
        <f t="shared" si="30"/>
        <v>-7.7232796486090827E-2</v>
      </c>
      <c r="S50" s="64">
        <f t="shared" si="30"/>
        <v>-0.11115200588884799</v>
      </c>
      <c r="T50" s="64">
        <f t="shared" si="30"/>
        <v>-5.5914796500570518E-2</v>
      </c>
      <c r="U50" s="63">
        <f t="shared" si="30"/>
        <v>-0.10759252193819158</v>
      </c>
      <c r="V50" s="23">
        <f t="shared" si="30"/>
        <v>-8.7952145060286036E-2</v>
      </c>
      <c r="W50" s="64">
        <f t="shared" si="30"/>
        <v>-6.3863546211820665E-2</v>
      </c>
      <c r="X50" s="64">
        <f t="shared" si="30"/>
        <v>-7.7432712215320887E-2</v>
      </c>
      <c r="Y50" s="64">
        <f t="shared" si="30"/>
        <v>-0.14302981466559228</v>
      </c>
      <c r="Z50" s="63">
        <f t="shared" ref="Z50:AI50" si="31">Z48/U48-1</f>
        <v>-0.15391192817443355</v>
      </c>
      <c r="AA50" s="23">
        <f t="shared" si="31"/>
        <v>-0.10903873744619796</v>
      </c>
      <c r="AB50" s="64">
        <f t="shared" si="31"/>
        <v>-0.24237288135593216</v>
      </c>
      <c r="AC50" s="64">
        <f t="shared" si="31"/>
        <v>-0.18985637342908435</v>
      </c>
      <c r="AD50" s="64">
        <f t="shared" si="31"/>
        <v>-0.19511048425011757</v>
      </c>
      <c r="AE50" s="63">
        <f t="shared" si="31"/>
        <v>-0.11975745325922182</v>
      </c>
      <c r="AF50" s="23">
        <f t="shared" si="31"/>
        <v>-0.18944099378881984</v>
      </c>
      <c r="AG50" s="64">
        <f t="shared" si="31"/>
        <v>-0.10067114093959728</v>
      </c>
      <c r="AH50" s="64">
        <f t="shared" si="31"/>
        <v>-0.15678670360110802</v>
      </c>
      <c r="AI50" s="64">
        <f t="shared" si="31"/>
        <v>-7.2429906542056055E-2</v>
      </c>
      <c r="AJ50" s="63">
        <f t="shared" ref="AJ50:AS50" si="32">AJ48/AE48-1</f>
        <v>-0.14925373134328357</v>
      </c>
      <c r="AK50" s="23">
        <f t="shared" si="32"/>
        <v>-0.12019298992479066</v>
      </c>
      <c r="AL50" s="64">
        <f t="shared" si="32"/>
        <v>-9.2661691542288538E-2</v>
      </c>
      <c r="AM50" s="64">
        <f t="shared" si="32"/>
        <v>-8.2785808147174733E-2</v>
      </c>
      <c r="AN50" s="64">
        <f t="shared" si="32"/>
        <v>-0.13539042821158687</v>
      </c>
      <c r="AO50" s="63">
        <f t="shared" si="32"/>
        <v>-6.9500674763832704E-2</v>
      </c>
      <c r="AP50" s="23">
        <f t="shared" si="32"/>
        <v>-9.5645161290322633E-2</v>
      </c>
      <c r="AQ50" s="64">
        <f t="shared" si="32"/>
        <v>-9.8012337217272094E-2</v>
      </c>
      <c r="AR50" s="64">
        <f t="shared" si="32"/>
        <v>-9.957020057306587E-2</v>
      </c>
      <c r="AS50" s="64">
        <f t="shared" si="32"/>
        <v>-5.5353241077931492E-2</v>
      </c>
      <c r="AT50" s="63">
        <f t="shared" ref="AT50:BT50" si="33">AT48/AO48-1</f>
        <v>-0.17621464829586653</v>
      </c>
      <c r="AU50" s="23">
        <f t="shared" si="33"/>
        <v>-0.10718744426609594</v>
      </c>
      <c r="AV50" s="64">
        <f t="shared" si="33"/>
        <v>-0.10562310030395139</v>
      </c>
      <c r="AW50" s="64">
        <f t="shared" si="33"/>
        <v>-0.12649164677804292</v>
      </c>
      <c r="AX50" s="64">
        <f t="shared" si="33"/>
        <v>-0.1272166538164996</v>
      </c>
      <c r="AY50" s="63">
        <f t="shared" si="33"/>
        <v>-5.9859154929577496E-2</v>
      </c>
      <c r="AZ50" s="23">
        <f t="shared" si="33"/>
        <v>-0.10607271274470631</v>
      </c>
      <c r="BA50" s="64">
        <f t="shared" si="33"/>
        <v>-0.10365335598980463</v>
      </c>
      <c r="BB50" s="64">
        <f t="shared" si="33"/>
        <v>-8.0145719489981837E-2</v>
      </c>
      <c r="BC50" s="64">
        <f t="shared" si="33"/>
        <v>-0.15194346289752647</v>
      </c>
      <c r="BD50" s="63">
        <f t="shared" si="33"/>
        <v>-7.3970037453183535E-2</v>
      </c>
      <c r="BE50" s="23">
        <f t="shared" si="33"/>
        <v>-0.10301675977653635</v>
      </c>
      <c r="BF50" s="64">
        <f t="shared" si="33"/>
        <v>-0.12227488151658772</v>
      </c>
      <c r="BG50" s="64">
        <f t="shared" si="33"/>
        <v>-0.14356435643564358</v>
      </c>
      <c r="BH50" s="64">
        <f t="shared" si="33"/>
        <v>-7.4999999999999956E-2</v>
      </c>
      <c r="BI50" s="63">
        <f t="shared" si="33"/>
        <v>-0.17087967644084934</v>
      </c>
      <c r="BJ50" s="23">
        <f t="shared" si="33"/>
        <v>-0.12830094668659686</v>
      </c>
      <c r="BK50" s="64">
        <f t="shared" si="33"/>
        <v>-4.643628509719222E-2</v>
      </c>
      <c r="BL50" s="64">
        <f t="shared" si="33"/>
        <v>0.24739884393063583</v>
      </c>
      <c r="BM50" s="64">
        <f t="shared" si="33"/>
        <v>0.14752252252252251</v>
      </c>
      <c r="BN50" s="63">
        <f t="shared" si="33"/>
        <v>0.224390243902439</v>
      </c>
      <c r="BO50" s="23">
        <f t="shared" si="33"/>
        <v>0.13889682766504707</v>
      </c>
      <c r="BP50" s="64">
        <f t="shared" si="33"/>
        <v>9.2865232163080513E-2</v>
      </c>
      <c r="BQ50" s="64">
        <f t="shared" si="33"/>
        <v>-0.23354958294717332</v>
      </c>
      <c r="BR50" s="64">
        <f t="shared" si="33"/>
        <v>-0.23258096172718357</v>
      </c>
      <c r="BS50" s="63">
        <f t="shared" si="33"/>
        <v>-0.19223107569721121</v>
      </c>
      <c r="BT50" s="23">
        <f t="shared" si="33"/>
        <v>-0.15056461731493098</v>
      </c>
    </row>
    <row r="51" spans="1:202">
      <c r="A51" s="62"/>
      <c r="B51" s="23"/>
      <c r="C51" s="64"/>
      <c r="D51" s="64"/>
      <c r="E51" s="64"/>
      <c r="F51" s="64"/>
      <c r="G51" s="23"/>
      <c r="H51" s="64"/>
      <c r="I51" s="64"/>
      <c r="J51" s="64"/>
      <c r="K51" s="63"/>
      <c r="L51" s="23"/>
      <c r="M51" s="64"/>
      <c r="N51" s="64"/>
      <c r="O51" s="64"/>
      <c r="P51" s="63"/>
      <c r="Q51" s="23"/>
      <c r="R51" s="64"/>
      <c r="S51" s="64"/>
      <c r="T51" s="64"/>
      <c r="U51" s="63"/>
      <c r="V51" s="23"/>
      <c r="W51" s="64"/>
      <c r="X51" s="64"/>
      <c r="Y51" s="64"/>
      <c r="Z51" s="63"/>
      <c r="AA51" s="23"/>
      <c r="AB51" s="64"/>
      <c r="AC51" s="64"/>
      <c r="AD51" s="64"/>
      <c r="AE51" s="63"/>
      <c r="AF51" s="23"/>
      <c r="AG51" s="64"/>
      <c r="AH51" s="64"/>
      <c r="AI51" s="64"/>
      <c r="AJ51" s="63"/>
      <c r="AK51" s="23"/>
      <c r="AL51" s="64"/>
      <c r="AM51" s="64"/>
      <c r="AN51" s="64"/>
      <c r="AO51" s="63"/>
      <c r="AP51" s="23"/>
      <c r="AQ51" s="64"/>
      <c r="AR51" s="64"/>
      <c r="AS51" s="64"/>
      <c r="AT51" s="63"/>
      <c r="AU51" s="23"/>
      <c r="AV51" s="64"/>
      <c r="AW51" s="64"/>
      <c r="AX51" s="64"/>
      <c r="AY51" s="63"/>
      <c r="AZ51" s="23"/>
      <c r="BA51" s="64"/>
      <c r="BB51" s="64"/>
      <c r="BC51" s="64"/>
      <c r="BD51" s="63"/>
      <c r="BE51" s="23"/>
      <c r="BF51" s="64"/>
      <c r="BG51" s="64"/>
      <c r="BH51" s="64"/>
      <c r="BI51" s="63"/>
      <c r="BJ51" s="23"/>
      <c r="BK51" s="64"/>
      <c r="BL51" s="64"/>
      <c r="BM51" s="64"/>
      <c r="BN51" s="63"/>
      <c r="BO51" s="23"/>
      <c r="BP51" s="64"/>
      <c r="BQ51" s="64"/>
      <c r="BR51" s="64"/>
      <c r="BS51" s="63"/>
      <c r="BT51" s="23"/>
    </row>
    <row r="52" spans="1:202">
      <c r="A52" s="60" t="s">
        <v>37</v>
      </c>
      <c r="B52" s="36">
        <v>6411</v>
      </c>
      <c r="C52" s="78">
        <v>1673</v>
      </c>
      <c r="D52" s="78">
        <v>1651</v>
      </c>
      <c r="E52" s="78">
        <v>1719</v>
      </c>
      <c r="F52" s="61">
        <f>G52-E52-D52-C52</f>
        <v>1648</v>
      </c>
      <c r="G52" s="36">
        <v>6691</v>
      </c>
      <c r="H52" s="78">
        <v>1654</v>
      </c>
      <c r="I52" s="78">
        <v>1659</v>
      </c>
      <c r="J52" s="78">
        <v>1731</v>
      </c>
      <c r="K52" s="61">
        <f>L52-J52-I52-H52</f>
        <v>1674</v>
      </c>
      <c r="L52" s="35">
        <v>6718</v>
      </c>
      <c r="M52" s="78">
        <v>1623</v>
      </c>
      <c r="N52" s="78">
        <v>1634</v>
      </c>
      <c r="O52" s="78">
        <v>1646</v>
      </c>
      <c r="P52" s="61">
        <f>Q52-O52-N52-M52</f>
        <v>1644</v>
      </c>
      <c r="Q52" s="35">
        <v>6547</v>
      </c>
      <c r="R52" s="78">
        <v>1577</v>
      </c>
      <c r="S52" s="78">
        <v>1535</v>
      </c>
      <c r="T52" s="78">
        <v>1602</v>
      </c>
      <c r="U52" s="61">
        <f>V52-T52-S52-R52</f>
        <v>1526</v>
      </c>
      <c r="V52" s="35">
        <v>6240</v>
      </c>
      <c r="W52" s="78">
        <v>1543</v>
      </c>
      <c r="X52" s="78">
        <v>1516</v>
      </c>
      <c r="Y52" s="78">
        <v>1595</v>
      </c>
      <c r="Z52" s="61">
        <f>AA52-Y52-X52-W52</f>
        <v>1571</v>
      </c>
      <c r="AA52" s="35">
        <v>6225</v>
      </c>
      <c r="AB52" s="78">
        <v>1503</v>
      </c>
      <c r="AC52" s="78">
        <v>1550</v>
      </c>
      <c r="AD52" s="78">
        <v>1521</v>
      </c>
      <c r="AE52" s="61">
        <f>AF52-AD52-AC52-AB52</f>
        <v>1541</v>
      </c>
      <c r="AF52" s="35">
        <v>6115</v>
      </c>
      <c r="AG52" s="78">
        <v>1467</v>
      </c>
      <c r="AH52" s="78">
        <v>1424</v>
      </c>
      <c r="AI52" s="78">
        <v>1498</v>
      </c>
      <c r="AJ52" s="61">
        <f>AK52-AI52-AH52-AG52</f>
        <v>1440</v>
      </c>
      <c r="AK52" s="35">
        <v>5829</v>
      </c>
      <c r="AL52" s="78">
        <v>1429</v>
      </c>
      <c r="AM52" s="78">
        <v>1386</v>
      </c>
      <c r="AN52" s="78">
        <v>1410</v>
      </c>
      <c r="AO52" s="61">
        <f>AP52-AN52-AM52-AL52</f>
        <v>1403</v>
      </c>
      <c r="AP52" s="35">
        <v>5628</v>
      </c>
      <c r="AQ52" s="78">
        <v>1348</v>
      </c>
      <c r="AR52" s="78">
        <v>1314</v>
      </c>
      <c r="AS52" s="78">
        <v>1383</v>
      </c>
      <c r="AT52" s="61">
        <f>AU52-AS52-AR52-AQ52</f>
        <v>1252</v>
      </c>
      <c r="AU52" s="35">
        <v>5297</v>
      </c>
      <c r="AV52" s="78">
        <v>1281</v>
      </c>
      <c r="AW52" s="78">
        <v>1220</v>
      </c>
      <c r="AX52" s="78">
        <v>1266</v>
      </c>
      <c r="AY52" s="61">
        <f>AZ52-AX52-AW52-AV52</f>
        <v>1205</v>
      </c>
      <c r="AZ52" s="35">
        <v>4972</v>
      </c>
      <c r="BA52" s="78">
        <v>1191</v>
      </c>
      <c r="BB52" s="78">
        <v>1151</v>
      </c>
      <c r="BC52" s="78">
        <v>1125</v>
      </c>
      <c r="BD52" s="61">
        <f>BE52-BC52-BB52-BA52</f>
        <v>1160</v>
      </c>
      <c r="BE52" s="35">
        <v>4627</v>
      </c>
      <c r="BF52" s="78">
        <v>1090</v>
      </c>
      <c r="BG52" s="78">
        <v>1056</v>
      </c>
      <c r="BH52" s="78">
        <v>1099</v>
      </c>
      <c r="BI52" s="61">
        <f>BJ52-BH52-BG52-BF52</f>
        <v>1046</v>
      </c>
      <c r="BJ52" s="35">
        <v>4291</v>
      </c>
      <c r="BK52" s="78">
        <v>1120</v>
      </c>
      <c r="BL52" s="78">
        <v>1293</v>
      </c>
      <c r="BM52" s="78">
        <v>1368</v>
      </c>
      <c r="BN52" s="61">
        <f>BO52-BM52-BL52-BK52</f>
        <v>1326</v>
      </c>
      <c r="BO52" s="35">
        <v>5107</v>
      </c>
      <c r="BP52" s="78">
        <v>1284</v>
      </c>
      <c r="BQ52" s="78">
        <v>1095</v>
      </c>
      <c r="BR52" s="78">
        <v>1152</v>
      </c>
      <c r="BS52" s="61">
        <f>BT52-BR52-BQ52-BP52</f>
        <v>1096</v>
      </c>
      <c r="BT52" s="35">
        <v>4627</v>
      </c>
    </row>
    <row r="53" spans="1:202">
      <c r="A53" s="62" t="s">
        <v>7</v>
      </c>
      <c r="B53" s="23"/>
      <c r="C53" s="63"/>
      <c r="D53" s="63">
        <f>D52/C52-1</f>
        <v>-1.3150029886431547E-2</v>
      </c>
      <c r="E53" s="63">
        <f>E52/D52-1</f>
        <v>4.1187159297395581E-2</v>
      </c>
      <c r="F53" s="63">
        <f>F52/E52-1</f>
        <v>-4.1303083187899992E-2</v>
      </c>
      <c r="G53" s="23"/>
      <c r="H53" s="63">
        <f>H52/F52-1</f>
        <v>3.6407766990291801E-3</v>
      </c>
      <c r="I53" s="63">
        <f>I52/H52-1</f>
        <v>3.0229746070133956E-3</v>
      </c>
      <c r="J53" s="63">
        <f>J52/I52-1</f>
        <v>4.3399638336347302E-2</v>
      </c>
      <c r="K53" s="63">
        <f>K52/J52-1</f>
        <v>-3.2928942807625705E-2</v>
      </c>
      <c r="L53" s="26"/>
      <c r="M53" s="63">
        <f>M52/K52-1</f>
        <v>-3.046594982078854E-2</v>
      </c>
      <c r="N53" s="63">
        <f>N52/M52-1</f>
        <v>6.7775723967959944E-3</v>
      </c>
      <c r="O53" s="63">
        <f>O52/N52-1</f>
        <v>7.3439412484699318E-3</v>
      </c>
      <c r="P53" s="63">
        <f>P52/O52-1</f>
        <v>-1.2150668286755595E-3</v>
      </c>
      <c r="Q53" s="26"/>
      <c r="R53" s="63">
        <f>R52/P52-1</f>
        <v>-4.0754257907542613E-2</v>
      </c>
      <c r="S53" s="63">
        <f>S52/R52-1</f>
        <v>-2.6632847178186481E-2</v>
      </c>
      <c r="T53" s="63">
        <f>T52/S52-1</f>
        <v>4.3648208469055483E-2</v>
      </c>
      <c r="U53" s="63">
        <f>U52/T52-1</f>
        <v>-4.7440699126092389E-2</v>
      </c>
      <c r="V53" s="26"/>
      <c r="W53" s="63">
        <f>W52/U52-1</f>
        <v>1.1140235910878094E-2</v>
      </c>
      <c r="X53" s="63">
        <f>X52/W52-1</f>
        <v>-1.7498379779650075E-2</v>
      </c>
      <c r="Y53" s="63">
        <f>Y52/X52-1</f>
        <v>5.2110817941952492E-2</v>
      </c>
      <c r="Z53" s="63">
        <f>Z52/Y52-1</f>
        <v>-1.5047021943573657E-2</v>
      </c>
      <c r="AA53" s="26"/>
      <c r="AB53" s="63">
        <f>AB52/Z52-1</f>
        <v>-4.3284532145130505E-2</v>
      </c>
      <c r="AC53" s="63">
        <f>AC52/AB52-1</f>
        <v>3.1270791749833604E-2</v>
      </c>
      <c r="AD53" s="63">
        <f>AD52/AC52-1</f>
        <v>-1.8709677419354809E-2</v>
      </c>
      <c r="AE53" s="63">
        <f>AE52/AD52-1</f>
        <v>1.3149243918474607E-2</v>
      </c>
      <c r="AF53" s="26"/>
      <c r="AG53" s="63">
        <f>AG52/AE52-1</f>
        <v>-4.8020765736534687E-2</v>
      </c>
      <c r="AH53" s="63">
        <f>AH52/AG52-1</f>
        <v>-2.9311520109066125E-2</v>
      </c>
      <c r="AI53" s="63">
        <f>AI52/AH52-1</f>
        <v>5.1966292134831393E-2</v>
      </c>
      <c r="AJ53" s="63">
        <f>AJ52/AI52-1</f>
        <v>-3.8718291054739673E-2</v>
      </c>
      <c r="AK53" s="26"/>
      <c r="AL53" s="63">
        <f>AL52/AJ52-1</f>
        <v>-7.6388888888888618E-3</v>
      </c>
      <c r="AM53" s="63">
        <f>AM52/AL52-1</f>
        <v>-3.0090972708187502E-2</v>
      </c>
      <c r="AN53" s="63">
        <f>AN52/AM52-1</f>
        <v>1.7316017316017396E-2</v>
      </c>
      <c r="AO53" s="63">
        <f>AO52/AN52-1</f>
        <v>-4.9645390070921502E-3</v>
      </c>
      <c r="AP53" s="26"/>
      <c r="AQ53" s="63">
        <f>AQ52/AO52-1</f>
        <v>-3.9201710620099806E-2</v>
      </c>
      <c r="AR53" s="63">
        <f>AR52/AQ52-1</f>
        <v>-2.5222551928783421E-2</v>
      </c>
      <c r="AS53" s="63">
        <f>AS52/AR52-1</f>
        <v>5.2511415525114069E-2</v>
      </c>
      <c r="AT53" s="63">
        <f>AT52/AS52-1</f>
        <v>-9.4721619667389678E-2</v>
      </c>
      <c r="AU53" s="26"/>
      <c r="AV53" s="63">
        <f>AV52/AT52-1</f>
        <v>2.3162939297124652E-2</v>
      </c>
      <c r="AW53" s="63">
        <f>AW52/AV52-1</f>
        <v>-4.7619047619047672E-2</v>
      </c>
      <c r="AX53" s="63">
        <f>AX52/AW52-1</f>
        <v>3.770491803278686E-2</v>
      </c>
      <c r="AY53" s="63">
        <f>AY52/AX52-1</f>
        <v>-4.8183254344391746E-2</v>
      </c>
      <c r="AZ53" s="26"/>
      <c r="BA53" s="63">
        <f>BA52/AY52-1</f>
        <v>-1.1618257261410747E-2</v>
      </c>
      <c r="BB53" s="63">
        <f>BB52/BA52-1</f>
        <v>-3.3585222502099055E-2</v>
      </c>
      <c r="BC53" s="63">
        <f>BC52/BB52-1</f>
        <v>-2.2589052997393555E-2</v>
      </c>
      <c r="BD53" s="63">
        <f>BD52/BC52-1</f>
        <v>3.1111111111111089E-2</v>
      </c>
      <c r="BE53" s="26"/>
      <c r="BF53" s="63">
        <f>BF52/BD52-1</f>
        <v>-6.0344827586206851E-2</v>
      </c>
      <c r="BG53" s="63">
        <f>BG52/BF52-1</f>
        <v>-3.1192660550458662E-2</v>
      </c>
      <c r="BH53" s="63">
        <f>BH52/BG52-1</f>
        <v>4.0719696969697017E-2</v>
      </c>
      <c r="BI53" s="63">
        <f>BI52/BH52-1</f>
        <v>-4.8225659690627865E-2</v>
      </c>
      <c r="BJ53" s="26"/>
      <c r="BK53" s="63">
        <f>BK52/BI52-1</f>
        <v>7.074569789674956E-2</v>
      </c>
      <c r="BL53" s="63">
        <f>BL52/BK52-1</f>
        <v>0.15446428571428572</v>
      </c>
      <c r="BM53" s="63">
        <f>BM52/BL52-1</f>
        <v>5.8004640371229765E-2</v>
      </c>
      <c r="BN53" s="63">
        <f>BN52/BM52-1</f>
        <v>-3.0701754385964897E-2</v>
      </c>
      <c r="BO53" s="26"/>
      <c r="BP53" s="63">
        <f>BP52/BN52-1</f>
        <v>-3.1674208144796379E-2</v>
      </c>
      <c r="BQ53" s="63">
        <f>BQ52/BP52-1</f>
        <v>-0.14719626168224298</v>
      </c>
      <c r="BR53" s="63">
        <f>BR52/BQ52-1</f>
        <v>5.2054794520547842E-2</v>
      </c>
      <c r="BS53" s="63">
        <f>BS52/BR52-1</f>
        <v>-4.861111111111116E-2</v>
      </c>
      <c r="BT53" s="26"/>
    </row>
    <row r="54" spans="1:202">
      <c r="A54" s="62" t="s">
        <v>8</v>
      </c>
      <c r="B54" s="23"/>
      <c r="C54" s="64"/>
      <c r="D54" s="64"/>
      <c r="E54" s="64"/>
      <c r="F54" s="64"/>
      <c r="G54" s="23">
        <f t="shared" ref="G54:N54" si="34">G52/B52-1</f>
        <v>4.3674933707689823E-2</v>
      </c>
      <c r="H54" s="64">
        <f t="shared" si="34"/>
        <v>-1.1356843992827215E-2</v>
      </c>
      <c r="I54" s="64">
        <f t="shared" si="34"/>
        <v>4.8455481526348265E-3</v>
      </c>
      <c r="J54" s="64">
        <f t="shared" si="34"/>
        <v>6.9808027923210503E-3</v>
      </c>
      <c r="K54" s="63">
        <f t="shared" si="34"/>
        <v>1.5776699029126151E-2</v>
      </c>
      <c r="L54" s="23">
        <f t="shared" si="34"/>
        <v>4.0352712599014406E-3</v>
      </c>
      <c r="M54" s="64">
        <f t="shared" si="34"/>
        <v>-1.8742442563482453E-2</v>
      </c>
      <c r="N54" s="64">
        <f t="shared" si="34"/>
        <v>-1.5069318866787196E-2</v>
      </c>
      <c r="O54" s="64">
        <f t="shared" ref="O54:Y54" si="35">O52/J52-1</f>
        <v>-4.9104563835932979E-2</v>
      </c>
      <c r="P54" s="63">
        <f t="shared" si="35"/>
        <v>-1.7921146953404965E-2</v>
      </c>
      <c r="Q54" s="23">
        <f t="shared" si="35"/>
        <v>-2.5454004167907107E-2</v>
      </c>
      <c r="R54" s="64">
        <f t="shared" si="35"/>
        <v>-2.8342575477510734E-2</v>
      </c>
      <c r="S54" s="64">
        <f t="shared" si="35"/>
        <v>-6.0587515299877603E-2</v>
      </c>
      <c r="T54" s="64">
        <f t="shared" si="35"/>
        <v>-2.6731470230862753E-2</v>
      </c>
      <c r="U54" s="63">
        <f t="shared" si="35"/>
        <v>-7.1776155717761525E-2</v>
      </c>
      <c r="V54" s="23">
        <f t="shared" si="35"/>
        <v>-4.6891706124942756E-2</v>
      </c>
      <c r="W54" s="64">
        <f t="shared" si="35"/>
        <v>-2.1559923906150913E-2</v>
      </c>
      <c r="X54" s="64">
        <f t="shared" si="35"/>
        <v>-1.2377850162866411E-2</v>
      </c>
      <c r="Y54" s="64">
        <f t="shared" si="35"/>
        <v>-4.3695380774032566E-3</v>
      </c>
      <c r="Z54" s="63">
        <f t="shared" ref="Z54:AI54" si="36">Z52/U52-1</f>
        <v>2.9488859764089215E-2</v>
      </c>
      <c r="AA54" s="23">
        <f t="shared" si="36"/>
        <v>-2.4038461538461453E-3</v>
      </c>
      <c r="AB54" s="64">
        <f t="shared" si="36"/>
        <v>-2.5923525599481523E-2</v>
      </c>
      <c r="AC54" s="64">
        <f t="shared" si="36"/>
        <v>2.2427440633245421E-2</v>
      </c>
      <c r="AD54" s="64">
        <f t="shared" si="36"/>
        <v>-4.6394984326018851E-2</v>
      </c>
      <c r="AE54" s="63">
        <f t="shared" si="36"/>
        <v>-1.9096117122851641E-2</v>
      </c>
      <c r="AF54" s="23">
        <f t="shared" si="36"/>
        <v>-1.7670682730923648E-2</v>
      </c>
      <c r="AG54" s="64">
        <f t="shared" si="36"/>
        <v>-2.39520958083832E-2</v>
      </c>
      <c r="AH54" s="64">
        <f t="shared" si="36"/>
        <v>-8.1290322580645169E-2</v>
      </c>
      <c r="AI54" s="64">
        <f t="shared" si="36"/>
        <v>-1.5121630506245931E-2</v>
      </c>
      <c r="AJ54" s="63">
        <f t="shared" ref="AJ54:AS54" si="37">AJ52/AE52-1</f>
        <v>-6.5541855937702787E-2</v>
      </c>
      <c r="AK54" s="23">
        <f t="shared" si="37"/>
        <v>-4.6770237121831593E-2</v>
      </c>
      <c r="AL54" s="64">
        <f t="shared" si="37"/>
        <v>-2.5903203817314258E-2</v>
      </c>
      <c r="AM54" s="64">
        <f t="shared" si="37"/>
        <v>-2.6685393258427004E-2</v>
      </c>
      <c r="AN54" s="64">
        <f t="shared" si="37"/>
        <v>-5.8744993324432615E-2</v>
      </c>
      <c r="AO54" s="63">
        <f t="shared" si="37"/>
        <v>-2.5694444444444464E-2</v>
      </c>
      <c r="AP54" s="23">
        <f t="shared" si="37"/>
        <v>-3.4482758620689613E-2</v>
      </c>
      <c r="AQ54" s="64">
        <f t="shared" si="37"/>
        <v>-5.6682995101469569E-2</v>
      </c>
      <c r="AR54" s="64">
        <f t="shared" si="37"/>
        <v>-5.1948051948051965E-2</v>
      </c>
      <c r="AS54" s="64">
        <f t="shared" si="37"/>
        <v>-1.9148936170212738E-2</v>
      </c>
      <c r="AT54" s="63">
        <f t="shared" ref="AT54:BT54" si="38">AT52/AO52-1</f>
        <v>-0.10762651461154671</v>
      </c>
      <c r="AU54" s="23">
        <f t="shared" si="38"/>
        <v>-5.8813077469793917E-2</v>
      </c>
      <c r="AV54" s="64">
        <f t="shared" si="38"/>
        <v>-4.9703264094955513E-2</v>
      </c>
      <c r="AW54" s="64">
        <f t="shared" si="38"/>
        <v>-7.1537290715372959E-2</v>
      </c>
      <c r="AX54" s="64">
        <f t="shared" si="38"/>
        <v>-8.4598698481561874E-2</v>
      </c>
      <c r="AY54" s="63">
        <f t="shared" si="38"/>
        <v>-3.7539936102236382E-2</v>
      </c>
      <c r="AZ54" s="23">
        <f t="shared" si="38"/>
        <v>-6.1355484236360169E-2</v>
      </c>
      <c r="BA54" s="64">
        <f t="shared" si="38"/>
        <v>-7.0257611241217766E-2</v>
      </c>
      <c r="BB54" s="64">
        <f t="shared" si="38"/>
        <v>-5.6557377049180291E-2</v>
      </c>
      <c r="BC54" s="64">
        <f t="shared" si="38"/>
        <v>-0.11137440758293837</v>
      </c>
      <c r="BD54" s="63">
        <f t="shared" si="38"/>
        <v>-3.7344398340248941E-2</v>
      </c>
      <c r="BE54" s="23">
        <f t="shared" si="38"/>
        <v>-6.938857602574422E-2</v>
      </c>
      <c r="BF54" s="64">
        <f t="shared" si="38"/>
        <v>-8.4802686817800121E-2</v>
      </c>
      <c r="BG54" s="64">
        <f t="shared" si="38"/>
        <v>-8.2536924413553425E-2</v>
      </c>
      <c r="BH54" s="64">
        <f t="shared" si="38"/>
        <v>-2.3111111111111082E-2</v>
      </c>
      <c r="BI54" s="63">
        <f t="shared" si="38"/>
        <v>-9.8275862068965547E-2</v>
      </c>
      <c r="BJ54" s="23">
        <f t="shared" si="38"/>
        <v>-7.2617246596066609E-2</v>
      </c>
      <c r="BK54" s="64">
        <f t="shared" si="38"/>
        <v>2.7522935779816571E-2</v>
      </c>
      <c r="BL54" s="64">
        <f t="shared" si="38"/>
        <v>0.22443181818181812</v>
      </c>
      <c r="BM54" s="64">
        <f t="shared" si="38"/>
        <v>0.24476797088262048</v>
      </c>
      <c r="BN54" s="63">
        <f t="shared" si="38"/>
        <v>0.26768642447418745</v>
      </c>
      <c r="BO54" s="23">
        <f t="shared" si="38"/>
        <v>0.19016546259613154</v>
      </c>
      <c r="BP54" s="64">
        <f t="shared" si="38"/>
        <v>0.14642857142857135</v>
      </c>
      <c r="BQ54" s="64">
        <f t="shared" si="38"/>
        <v>-0.15313225058004643</v>
      </c>
      <c r="BR54" s="64">
        <f t="shared" si="38"/>
        <v>-0.15789473684210531</v>
      </c>
      <c r="BS54" s="63">
        <f t="shared" si="38"/>
        <v>-0.1734539969834088</v>
      </c>
      <c r="BT54" s="23">
        <f t="shared" si="38"/>
        <v>-9.3988643038966146E-2</v>
      </c>
    </row>
    <row r="55" spans="1:202" s="41" customFormat="1">
      <c r="A55" s="328"/>
      <c r="B55" s="328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  <c r="BO55" s="316"/>
      <c r="BP55" s="316"/>
      <c r="BQ55" s="316"/>
      <c r="BR55" s="316"/>
      <c r="BS55" s="316"/>
      <c r="BT55" s="316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</row>
    <row r="56" spans="1:202" s="2" customFormat="1">
      <c r="A56" s="60" t="s">
        <v>17</v>
      </c>
      <c r="B56" s="36">
        <v>7614</v>
      </c>
      <c r="C56" s="70" t="s">
        <v>38</v>
      </c>
      <c r="D56" s="70" t="s">
        <v>38</v>
      </c>
      <c r="E56" s="70" t="s">
        <v>38</v>
      </c>
      <c r="F56" s="70" t="s">
        <v>38</v>
      </c>
      <c r="G56" s="36">
        <v>7530</v>
      </c>
      <c r="H56" s="106" t="s">
        <v>35</v>
      </c>
      <c r="I56" s="106" t="s">
        <v>35</v>
      </c>
      <c r="J56" s="106" t="s">
        <v>35</v>
      </c>
      <c r="K56" s="106" t="s">
        <v>35</v>
      </c>
      <c r="L56" s="36">
        <v>7364</v>
      </c>
      <c r="M56" s="106" t="s">
        <v>35</v>
      </c>
      <c r="N56" s="106" t="s">
        <v>35</v>
      </c>
      <c r="O56" s="106" t="s">
        <v>35</v>
      </c>
      <c r="P56" s="106" t="s">
        <v>35</v>
      </c>
      <c r="Q56" s="36">
        <v>7216</v>
      </c>
      <c r="R56" s="106" t="s">
        <v>35</v>
      </c>
      <c r="S56" s="106" t="s">
        <v>35</v>
      </c>
      <c r="T56" s="106" t="s">
        <v>35</v>
      </c>
      <c r="U56" s="106" t="s">
        <v>35</v>
      </c>
      <c r="V56" s="35">
        <v>7076</v>
      </c>
      <c r="W56" s="106" t="s">
        <v>35</v>
      </c>
      <c r="X56" s="106" t="s">
        <v>35</v>
      </c>
      <c r="Y56" s="106" t="s">
        <v>35</v>
      </c>
      <c r="Z56" s="106" t="s">
        <v>35</v>
      </c>
      <c r="AA56" s="35">
        <v>7422</v>
      </c>
      <c r="AB56" s="122" t="s">
        <v>35</v>
      </c>
      <c r="AC56" s="122" t="s">
        <v>35</v>
      </c>
      <c r="AD56" s="61">
        <v>6576</v>
      </c>
      <c r="AE56" s="61">
        <v>6479</v>
      </c>
      <c r="AF56" s="35">
        <v>6479</v>
      </c>
      <c r="AG56" s="122" t="s">
        <v>35</v>
      </c>
      <c r="AH56" s="122" t="s">
        <v>35</v>
      </c>
      <c r="AI56" s="122" t="s">
        <v>35</v>
      </c>
      <c r="AJ56" s="61">
        <v>5964</v>
      </c>
      <c r="AK56" s="35">
        <v>5964</v>
      </c>
      <c r="AL56" s="122" t="s">
        <v>35</v>
      </c>
      <c r="AM56" s="122" t="s">
        <v>35</v>
      </c>
      <c r="AN56" s="122" t="s">
        <v>35</v>
      </c>
      <c r="AO56" s="61">
        <v>5896</v>
      </c>
      <c r="AP56" s="35">
        <v>5896</v>
      </c>
      <c r="AQ56" s="122" t="s">
        <v>35</v>
      </c>
      <c r="AR56" s="122" t="s">
        <v>35</v>
      </c>
      <c r="AS56" s="122" t="s">
        <v>35</v>
      </c>
      <c r="AT56" s="61">
        <v>5649</v>
      </c>
      <c r="AU56" s="35">
        <v>5649</v>
      </c>
      <c r="AV56" s="122" t="s">
        <v>35</v>
      </c>
      <c r="AW56" s="122" t="s">
        <v>35</v>
      </c>
      <c r="AX56" s="122" t="s">
        <v>35</v>
      </c>
      <c r="AY56" s="61">
        <v>5582</v>
      </c>
      <c r="AZ56" s="35">
        <v>5582</v>
      </c>
      <c r="BA56" s="122" t="s">
        <v>35</v>
      </c>
      <c r="BB56" s="122" t="s">
        <v>35</v>
      </c>
      <c r="BC56" s="122" t="s">
        <v>35</v>
      </c>
      <c r="BD56" s="61">
        <f>BE56</f>
        <v>5494</v>
      </c>
      <c r="BE56" s="35">
        <v>5494</v>
      </c>
      <c r="BF56" s="61">
        <v>5358</v>
      </c>
      <c r="BG56" s="122" t="s">
        <v>35</v>
      </c>
      <c r="BH56" s="122" t="s">
        <v>35</v>
      </c>
      <c r="BI56" s="61">
        <f>BJ56</f>
        <v>5256</v>
      </c>
      <c r="BJ56" s="35">
        <v>5256</v>
      </c>
      <c r="BK56" s="122" t="s">
        <v>35</v>
      </c>
      <c r="BL56" s="122" t="s">
        <v>35</v>
      </c>
      <c r="BM56" s="122" t="s">
        <v>35</v>
      </c>
      <c r="BN56" s="61">
        <v>5408</v>
      </c>
      <c r="BO56" s="35">
        <v>5408</v>
      </c>
      <c r="BP56" s="122" t="s">
        <v>35</v>
      </c>
      <c r="BQ56" s="122" t="s">
        <v>35</v>
      </c>
      <c r="BR56" s="122" t="s">
        <v>35</v>
      </c>
      <c r="BS56" s="61">
        <f>BT56</f>
        <v>5475</v>
      </c>
      <c r="BT56" s="35">
        <v>5475</v>
      </c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</row>
    <row r="57" spans="1:202" ht="13.5" customHeight="1">
      <c r="A57" s="62" t="s">
        <v>8</v>
      </c>
      <c r="B57" s="23"/>
      <c r="C57" s="64"/>
      <c r="D57" s="64"/>
      <c r="E57" s="64"/>
      <c r="F57" s="64"/>
      <c r="G57" s="23">
        <f>G56/B56-1</f>
        <v>-1.1032308904649346E-2</v>
      </c>
      <c r="H57" s="64"/>
      <c r="I57" s="64"/>
      <c r="J57" s="64"/>
      <c r="K57" s="63"/>
      <c r="L57" s="23">
        <f>L56/G56-1</f>
        <v>-2.2045152722443562E-2</v>
      </c>
      <c r="M57" s="64"/>
      <c r="N57" s="64"/>
      <c r="O57" s="64"/>
      <c r="P57" s="63"/>
      <c r="Q57" s="23">
        <f>Q56/L56-1</f>
        <v>-2.0097772949484005E-2</v>
      </c>
      <c r="R57" s="64"/>
      <c r="S57" s="64"/>
      <c r="T57" s="64"/>
      <c r="U57" s="63"/>
      <c r="V57" s="23">
        <f>V56/Q56-1</f>
        <v>-1.940133037694014E-2</v>
      </c>
      <c r="W57" s="64"/>
      <c r="X57" s="64"/>
      <c r="Y57" s="64"/>
      <c r="Z57" s="63"/>
      <c r="AA57" s="23">
        <f>AA56/V56-1</f>
        <v>4.8897682306387802E-2</v>
      </c>
      <c r="AB57" s="64"/>
      <c r="AC57" s="64"/>
      <c r="AD57" s="64"/>
      <c r="AE57" s="63"/>
      <c r="AF57" s="23">
        <f>AF56/AA56-1</f>
        <v>-0.12705470223659387</v>
      </c>
      <c r="AG57" s="64"/>
      <c r="AH57" s="64"/>
      <c r="AI57" s="64"/>
      <c r="AJ57" s="63"/>
      <c r="AK57" s="23">
        <f>AK56/AF56-1</f>
        <v>-7.9487575243093023E-2</v>
      </c>
      <c r="AL57" s="64"/>
      <c r="AM57" s="64"/>
      <c r="AN57" s="64"/>
      <c r="AO57" s="63"/>
      <c r="AP57" s="23">
        <f>AP56/AK56-1</f>
        <v>-1.1401743796110031E-2</v>
      </c>
      <c r="AQ57" s="64"/>
      <c r="AR57" s="64"/>
      <c r="AS57" s="64"/>
      <c r="AT57" s="63"/>
      <c r="AU57" s="23">
        <f>AU56/AP56-1</f>
        <v>-4.1892808683853477E-2</v>
      </c>
      <c r="AV57" s="64"/>
      <c r="AW57" s="64"/>
      <c r="AX57" s="64"/>
      <c r="AY57" s="63"/>
      <c r="AZ57" s="23">
        <f>AZ56/AU56-1</f>
        <v>-1.1860506284298133E-2</v>
      </c>
      <c r="BA57" s="64"/>
      <c r="BB57" s="64"/>
      <c r="BC57" s="64"/>
      <c r="BD57" s="63"/>
      <c r="BE57" s="23">
        <f>BE56/AZ56-1</f>
        <v>-1.5764958796130379E-2</v>
      </c>
      <c r="BF57" s="64"/>
      <c r="BG57" s="64"/>
      <c r="BH57" s="64"/>
      <c r="BI57" s="63"/>
      <c r="BJ57" s="23">
        <f>BJ56/BE56-1</f>
        <v>-4.3319985438660336E-2</v>
      </c>
      <c r="BK57" s="64"/>
      <c r="BL57" s="64"/>
      <c r="BM57" s="64"/>
      <c r="BN57" s="63"/>
      <c r="BO57" s="23">
        <f>BO56/BJ56-1</f>
        <v>2.8919330289193246E-2</v>
      </c>
      <c r="BP57" s="64"/>
      <c r="BQ57" s="64"/>
      <c r="BR57" s="64"/>
      <c r="BS57" s="63"/>
      <c r="BT57" s="23">
        <f>BT56/BO56-1</f>
        <v>1.2389053254437954E-2</v>
      </c>
    </row>
    <row r="58" spans="1:202" ht="2.25" customHeight="1">
      <c r="A58" s="62"/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23"/>
      <c r="M58" s="64"/>
      <c r="N58" s="64"/>
      <c r="O58" s="64"/>
      <c r="P58" s="63"/>
      <c r="Q58" s="23"/>
      <c r="R58" s="64"/>
      <c r="S58" s="64"/>
      <c r="T58" s="64"/>
      <c r="U58" s="63"/>
      <c r="V58" s="23"/>
      <c r="W58" s="64"/>
      <c r="X58" s="64"/>
      <c r="Y58" s="64"/>
      <c r="Z58" s="63"/>
      <c r="AA58" s="23"/>
      <c r="AB58" s="64"/>
      <c r="AC58" s="64"/>
      <c r="AD58" s="64"/>
      <c r="AE58" s="63"/>
      <c r="AF58" s="23"/>
      <c r="AG58" s="64"/>
      <c r="AH58" s="64"/>
      <c r="AI58" s="64"/>
      <c r="AJ58" s="63"/>
      <c r="AK58" s="23"/>
      <c r="AL58" s="64"/>
      <c r="AM58" s="64"/>
      <c r="AN58" s="64"/>
      <c r="AO58" s="63"/>
      <c r="AP58" s="23" t="s">
        <v>127</v>
      </c>
      <c r="AQ58" s="64"/>
      <c r="AR58" s="64"/>
      <c r="AS58" s="64"/>
      <c r="AT58" s="63"/>
      <c r="AU58" s="23" t="s">
        <v>127</v>
      </c>
      <c r="AV58" s="64"/>
      <c r="AW58" s="64"/>
      <c r="AX58" s="64"/>
      <c r="AY58" s="63"/>
      <c r="AZ58" s="23" t="s">
        <v>127</v>
      </c>
      <c r="BA58" s="64"/>
      <c r="BB58" s="64"/>
      <c r="BC58" s="64"/>
      <c r="BD58" s="63"/>
      <c r="BE58" s="23" t="s">
        <v>127</v>
      </c>
      <c r="BF58" s="64"/>
      <c r="BG58" s="64"/>
      <c r="BH58" s="64"/>
      <c r="BI58" s="63"/>
      <c r="BJ58" s="23" t="s">
        <v>127</v>
      </c>
      <c r="BK58" s="64"/>
      <c r="BL58" s="64"/>
      <c r="BM58" s="64"/>
      <c r="BN58" s="63"/>
      <c r="BO58" s="23" t="s">
        <v>127</v>
      </c>
      <c r="BP58" s="64"/>
      <c r="BQ58" s="64"/>
      <c r="BR58" s="64"/>
      <c r="BS58" s="63"/>
      <c r="BT58" s="23" t="s">
        <v>127</v>
      </c>
    </row>
    <row r="59" spans="1:202" s="44" customFormat="1" ht="13.9" customHeight="1">
      <c r="A59" s="60" t="s">
        <v>304</v>
      </c>
      <c r="B59" s="153" t="s">
        <v>35</v>
      </c>
      <c r="C59" s="37"/>
      <c r="D59" s="37"/>
      <c r="E59" s="37"/>
      <c r="F59" s="37"/>
      <c r="G59" s="153" t="s">
        <v>35</v>
      </c>
      <c r="H59" s="37"/>
      <c r="I59" s="37"/>
      <c r="J59" s="37"/>
      <c r="K59" s="37"/>
      <c r="L59" s="154">
        <v>0.59</v>
      </c>
      <c r="M59" s="154"/>
      <c r="N59" s="154"/>
      <c r="O59" s="154"/>
      <c r="P59" s="154"/>
      <c r="Q59" s="154">
        <v>0.59</v>
      </c>
      <c r="R59" s="154"/>
      <c r="S59" s="154"/>
      <c r="T59" s="154"/>
      <c r="U59" s="154"/>
      <c r="V59" s="154">
        <v>0.59</v>
      </c>
      <c r="W59" s="154"/>
      <c r="X59" s="154"/>
      <c r="Y59" s="154"/>
      <c r="Z59" s="154"/>
      <c r="AA59" s="154">
        <v>0.6</v>
      </c>
      <c r="AB59" s="154"/>
      <c r="AC59" s="154"/>
      <c r="AD59" s="154"/>
      <c r="AE59" s="154"/>
      <c r="AF59" s="154">
        <v>0.63</v>
      </c>
      <c r="AG59" s="122" t="s">
        <v>35</v>
      </c>
      <c r="AH59" s="122" t="s">
        <v>35</v>
      </c>
      <c r="AI59" s="122" t="s">
        <v>35</v>
      </c>
      <c r="AJ59" s="122" t="s">
        <v>35</v>
      </c>
      <c r="AK59" s="154">
        <v>0.66</v>
      </c>
      <c r="AL59" s="122" t="s">
        <v>35</v>
      </c>
      <c r="AM59" s="122" t="s">
        <v>35</v>
      </c>
      <c r="AN59" s="122" t="s">
        <v>35</v>
      </c>
      <c r="AO59" s="122" t="s">
        <v>35</v>
      </c>
      <c r="AP59" s="154">
        <v>0.68</v>
      </c>
      <c r="AQ59" s="122" t="s">
        <v>35</v>
      </c>
      <c r="AR59" s="122" t="s">
        <v>35</v>
      </c>
      <c r="AS59" s="122" t="s">
        <v>35</v>
      </c>
      <c r="AT59" s="122" t="s">
        <v>35</v>
      </c>
      <c r="AU59" s="154">
        <v>0.69</v>
      </c>
      <c r="AV59" s="122" t="s">
        <v>35</v>
      </c>
      <c r="AW59" s="122" t="s">
        <v>35</v>
      </c>
      <c r="AX59" s="122" t="s">
        <v>35</v>
      </c>
      <c r="AY59" s="122" t="s">
        <v>35</v>
      </c>
      <c r="AZ59" s="154">
        <v>0.7</v>
      </c>
      <c r="BA59" s="122" t="s">
        <v>35</v>
      </c>
      <c r="BB59" s="122" t="s">
        <v>35</v>
      </c>
      <c r="BC59" s="122" t="s">
        <v>35</v>
      </c>
      <c r="BD59" s="122" t="s">
        <v>35</v>
      </c>
      <c r="BE59" s="154">
        <v>0.69</v>
      </c>
      <c r="BF59" s="122" t="s">
        <v>35</v>
      </c>
      <c r="BG59" s="122" t="s">
        <v>35</v>
      </c>
      <c r="BH59" s="122" t="s">
        <v>35</v>
      </c>
      <c r="BI59" s="122" t="s">
        <v>35</v>
      </c>
      <c r="BJ59" s="154">
        <v>0.63</v>
      </c>
      <c r="BK59" s="122" t="s">
        <v>35</v>
      </c>
      <c r="BL59" s="122" t="s">
        <v>35</v>
      </c>
      <c r="BM59" s="122" t="s">
        <v>35</v>
      </c>
      <c r="BN59" s="122" t="s">
        <v>35</v>
      </c>
      <c r="BO59" s="154">
        <v>0.61</v>
      </c>
      <c r="BP59" s="122" t="s">
        <v>35</v>
      </c>
      <c r="BQ59" s="122" t="s">
        <v>35</v>
      </c>
      <c r="BR59" s="122" t="s">
        <v>35</v>
      </c>
      <c r="BS59" s="122" t="s">
        <v>35</v>
      </c>
      <c r="BT59" s="154">
        <v>0.56999999999999995</v>
      </c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</row>
    <row r="60" spans="1:202" s="44" customFormat="1" ht="13.5" customHeight="1">
      <c r="A60" s="60" t="s">
        <v>122</v>
      </c>
      <c r="B60" s="153" t="s">
        <v>35</v>
      </c>
      <c r="C60" s="37"/>
      <c r="D60" s="37"/>
      <c r="E60" s="37"/>
      <c r="F60" s="37"/>
      <c r="G60" s="153" t="s">
        <v>35</v>
      </c>
      <c r="H60" s="37"/>
      <c r="I60" s="37"/>
      <c r="J60" s="37"/>
      <c r="K60" s="37"/>
      <c r="L60" s="154">
        <v>0.72</v>
      </c>
      <c r="M60" s="154"/>
      <c r="N60" s="154"/>
      <c r="O60" s="154"/>
      <c r="P60" s="154"/>
      <c r="Q60" s="154">
        <v>0.65</v>
      </c>
      <c r="R60" s="154"/>
      <c r="S60" s="154"/>
      <c r="T60" s="154"/>
      <c r="U60" s="154"/>
      <c r="V60" s="154">
        <v>0.63</v>
      </c>
      <c r="W60" s="154"/>
      <c r="X60" s="154"/>
      <c r="Y60" s="154"/>
      <c r="Z60" s="154"/>
      <c r="AA60" s="154">
        <v>0.59</v>
      </c>
      <c r="AB60" s="154"/>
      <c r="AC60" s="154"/>
      <c r="AD60" s="154"/>
      <c r="AE60" s="154"/>
      <c r="AF60" s="154">
        <v>0.56999999999999995</v>
      </c>
      <c r="AG60" s="122" t="s">
        <v>35</v>
      </c>
      <c r="AH60" s="122" t="s">
        <v>35</v>
      </c>
      <c r="AI60" s="122" t="s">
        <v>35</v>
      </c>
      <c r="AJ60" s="122" t="s">
        <v>35</v>
      </c>
      <c r="AK60" s="154">
        <v>0.56000000000000005</v>
      </c>
      <c r="AL60" s="122" t="s">
        <v>35</v>
      </c>
      <c r="AM60" s="122" t="s">
        <v>35</v>
      </c>
      <c r="AN60" s="122" t="s">
        <v>35</v>
      </c>
      <c r="AO60" s="122" t="s">
        <v>35</v>
      </c>
      <c r="AP60" s="154">
        <v>0.56000000000000005</v>
      </c>
      <c r="AQ60" s="122" t="s">
        <v>35</v>
      </c>
      <c r="AR60" s="122" t="s">
        <v>35</v>
      </c>
      <c r="AS60" s="122" t="s">
        <v>35</v>
      </c>
      <c r="AT60" s="122" t="s">
        <v>35</v>
      </c>
      <c r="AU60" s="154">
        <v>0.55000000000000004</v>
      </c>
      <c r="AV60" s="122" t="s">
        <v>35</v>
      </c>
      <c r="AW60" s="122" t="s">
        <v>35</v>
      </c>
      <c r="AX60" s="122" t="s">
        <v>35</v>
      </c>
      <c r="AY60" s="122" t="s">
        <v>35</v>
      </c>
      <c r="AZ60" s="154">
        <v>0.53</v>
      </c>
      <c r="BA60" s="122" t="s">
        <v>35</v>
      </c>
      <c r="BB60" s="122" t="s">
        <v>35</v>
      </c>
      <c r="BC60" s="122" t="s">
        <v>35</v>
      </c>
      <c r="BD60" s="122" t="s">
        <v>35</v>
      </c>
      <c r="BE60" s="154">
        <v>0.52</v>
      </c>
      <c r="BF60" s="122" t="s">
        <v>35</v>
      </c>
      <c r="BG60" s="122" t="s">
        <v>35</v>
      </c>
      <c r="BH60" s="122" t="s">
        <v>35</v>
      </c>
      <c r="BI60" s="122" t="s">
        <v>35</v>
      </c>
      <c r="BJ60" s="154">
        <v>0.53</v>
      </c>
      <c r="BK60" s="122" t="s">
        <v>35</v>
      </c>
      <c r="BL60" s="122" t="s">
        <v>35</v>
      </c>
      <c r="BM60" s="122" t="s">
        <v>35</v>
      </c>
      <c r="BN60" s="122" t="s">
        <v>35</v>
      </c>
      <c r="BO60" s="154">
        <v>0.54</v>
      </c>
      <c r="BP60" s="122" t="s">
        <v>35</v>
      </c>
      <c r="BQ60" s="122" t="s">
        <v>35</v>
      </c>
      <c r="BR60" s="122" t="s">
        <v>35</v>
      </c>
      <c r="BS60" s="122" t="s">
        <v>35</v>
      </c>
      <c r="BT60" s="154">
        <v>0.54</v>
      </c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</row>
    <row r="61" spans="1:202" s="44" customFormat="1" ht="14.25" customHeight="1">
      <c r="A61" s="60" t="s">
        <v>125</v>
      </c>
      <c r="B61" s="153" t="s">
        <v>35</v>
      </c>
      <c r="C61" s="37"/>
      <c r="D61" s="37"/>
      <c r="E61" s="37"/>
      <c r="F61" s="37"/>
      <c r="G61" s="153" t="s">
        <v>35</v>
      </c>
      <c r="H61" s="37"/>
      <c r="I61" s="37"/>
      <c r="J61" s="37"/>
      <c r="K61" s="37"/>
      <c r="L61" s="154">
        <v>0.82</v>
      </c>
      <c r="M61" s="154"/>
      <c r="N61" s="154"/>
      <c r="O61" s="154"/>
      <c r="P61" s="154"/>
      <c r="Q61" s="154">
        <v>0.78</v>
      </c>
      <c r="R61" s="154"/>
      <c r="S61" s="154"/>
      <c r="T61" s="154"/>
      <c r="U61" s="154"/>
      <c r="V61" s="154">
        <v>0.76</v>
      </c>
      <c r="W61" s="154"/>
      <c r="X61" s="154"/>
      <c r="Y61" s="154"/>
      <c r="Z61" s="154"/>
      <c r="AA61" s="154">
        <v>0.75</v>
      </c>
      <c r="AB61" s="154"/>
      <c r="AC61" s="154"/>
      <c r="AD61" s="154"/>
      <c r="AE61" s="154"/>
      <c r="AF61" s="154">
        <v>0.74</v>
      </c>
      <c r="AG61" s="122" t="s">
        <v>35</v>
      </c>
      <c r="AH61" s="122" t="s">
        <v>35</v>
      </c>
      <c r="AI61" s="122" t="s">
        <v>35</v>
      </c>
      <c r="AJ61" s="122" t="s">
        <v>35</v>
      </c>
      <c r="AK61" s="154">
        <v>0.74</v>
      </c>
      <c r="AL61" s="122" t="s">
        <v>35</v>
      </c>
      <c r="AM61" s="122" t="s">
        <v>35</v>
      </c>
      <c r="AN61" s="122" t="s">
        <v>35</v>
      </c>
      <c r="AO61" s="122" t="s">
        <v>35</v>
      </c>
      <c r="AP61" s="154">
        <v>0.74</v>
      </c>
      <c r="AQ61" s="122" t="s">
        <v>35</v>
      </c>
      <c r="AR61" s="122" t="s">
        <v>35</v>
      </c>
      <c r="AS61" s="122" t="s">
        <v>35</v>
      </c>
      <c r="AT61" s="122" t="s">
        <v>35</v>
      </c>
      <c r="AU61" s="154">
        <v>0.73</v>
      </c>
      <c r="AV61" s="122" t="s">
        <v>35</v>
      </c>
      <c r="AW61" s="122" t="s">
        <v>35</v>
      </c>
      <c r="AX61" s="122" t="s">
        <v>35</v>
      </c>
      <c r="AY61" s="122" t="s">
        <v>35</v>
      </c>
      <c r="AZ61" s="154">
        <v>0.72</v>
      </c>
      <c r="BA61" s="122" t="s">
        <v>35</v>
      </c>
      <c r="BB61" s="122" t="s">
        <v>35</v>
      </c>
      <c r="BC61" s="122" t="s">
        <v>35</v>
      </c>
      <c r="BD61" s="122" t="s">
        <v>35</v>
      </c>
      <c r="BE61" s="154">
        <v>0.71</v>
      </c>
      <c r="BF61" s="122" t="s">
        <v>35</v>
      </c>
      <c r="BG61" s="122" t="s">
        <v>35</v>
      </c>
      <c r="BH61" s="122" t="s">
        <v>35</v>
      </c>
      <c r="BI61" s="122" t="s">
        <v>35</v>
      </c>
      <c r="BJ61" s="154">
        <v>0.71</v>
      </c>
      <c r="BK61" s="122" t="s">
        <v>35</v>
      </c>
      <c r="BL61" s="122" t="s">
        <v>35</v>
      </c>
      <c r="BM61" s="122" t="s">
        <v>35</v>
      </c>
      <c r="BN61" s="122" t="s">
        <v>35</v>
      </c>
      <c r="BO61" s="154">
        <v>0.7</v>
      </c>
      <c r="BP61" s="122" t="s">
        <v>35</v>
      </c>
      <c r="BQ61" s="122" t="s">
        <v>35</v>
      </c>
      <c r="BR61" s="122" t="s">
        <v>35</v>
      </c>
      <c r="BS61" s="122" t="s">
        <v>35</v>
      </c>
      <c r="BT61" s="154">
        <v>0.7</v>
      </c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</row>
    <row r="62" spans="1:202" s="44" customFormat="1" ht="3.75" customHeight="1">
      <c r="A62" s="42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</row>
    <row r="63" spans="1:202" s="44" customFormat="1" ht="11.25" customHeight="1">
      <c r="A63" s="84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</row>
    <row r="64" spans="1:202" s="44" customFormat="1" ht="4.5" customHeight="1">
      <c r="A64" s="42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</row>
    <row r="65" spans="1:202" ht="20.25">
      <c r="A65" s="33" t="s">
        <v>3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</row>
    <row r="66" spans="1:202" s="41" customFormat="1">
      <c r="A66" s="328" t="s">
        <v>25</v>
      </c>
      <c r="B66" s="346"/>
      <c r="C66" s="316"/>
      <c r="D66" s="316"/>
      <c r="E66" s="316"/>
      <c r="F66" s="316"/>
      <c r="G66" s="322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  <c r="BO66" s="316"/>
      <c r="BP66" s="316"/>
      <c r="BQ66" s="316"/>
      <c r="BR66" s="316"/>
      <c r="BS66" s="316"/>
      <c r="BT66" s="316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</row>
    <row r="67" spans="1:202" s="32" customFormat="1">
      <c r="A67" s="60"/>
      <c r="B67" s="28"/>
      <c r="C67" s="60"/>
      <c r="D67" s="60"/>
      <c r="E67" s="60"/>
      <c r="F67" s="60"/>
      <c r="G67" s="28"/>
      <c r="H67" s="60"/>
      <c r="I67" s="60"/>
      <c r="J67" s="60"/>
      <c r="K67" s="60"/>
      <c r="L67" s="20"/>
      <c r="M67" s="60"/>
      <c r="N67" s="60"/>
      <c r="O67" s="60"/>
      <c r="P67" s="60"/>
      <c r="Q67" s="20"/>
      <c r="R67" s="60"/>
      <c r="S67" s="60"/>
      <c r="T67" s="60"/>
      <c r="U67" s="60"/>
      <c r="V67" s="20"/>
      <c r="W67" s="60"/>
      <c r="X67" s="60"/>
      <c r="Y67" s="60"/>
      <c r="Z67" s="60"/>
      <c r="AA67" s="20"/>
      <c r="AB67" s="60"/>
      <c r="AC67" s="60"/>
      <c r="AD67" s="60"/>
      <c r="AE67" s="60"/>
      <c r="AF67" s="20"/>
      <c r="AG67" s="60"/>
      <c r="AH67" s="60"/>
      <c r="AI67" s="60"/>
      <c r="AJ67" s="60"/>
      <c r="AK67" s="20"/>
      <c r="AL67" s="60"/>
      <c r="AM67" s="60"/>
      <c r="AN67" s="60"/>
      <c r="AO67" s="60"/>
      <c r="AP67" s="20"/>
      <c r="AQ67" s="60"/>
      <c r="AR67" s="60"/>
      <c r="AS67" s="60"/>
      <c r="AT67" s="60"/>
      <c r="AU67" s="20"/>
      <c r="AV67" s="194"/>
      <c r="AW67" s="194"/>
      <c r="AX67" s="194"/>
      <c r="AY67" s="194"/>
      <c r="AZ67" s="26"/>
      <c r="BA67" s="194"/>
      <c r="BB67" s="194"/>
      <c r="BC67" s="194"/>
      <c r="BD67" s="194"/>
      <c r="BE67" s="26"/>
      <c r="BF67" s="194"/>
      <c r="BG67" s="194"/>
      <c r="BH67" s="194"/>
      <c r="BI67" s="194"/>
      <c r="BJ67" s="26"/>
      <c r="BK67" s="194"/>
      <c r="BL67" s="194"/>
      <c r="BM67" s="194"/>
      <c r="BN67" s="194"/>
      <c r="BO67" s="26"/>
      <c r="BP67" s="194"/>
      <c r="BQ67" s="194"/>
      <c r="BR67" s="194"/>
      <c r="BS67" s="194"/>
      <c r="BT67" s="26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</row>
    <row r="68" spans="1:202" s="2" customFormat="1">
      <c r="A68" s="60" t="s">
        <v>210</v>
      </c>
      <c r="B68" s="36">
        <v>2622</v>
      </c>
      <c r="C68" s="61">
        <v>2595</v>
      </c>
      <c r="D68" s="61">
        <v>2636</v>
      </c>
      <c r="E68" s="61">
        <v>2698</v>
      </c>
      <c r="F68" s="61">
        <v>2649</v>
      </c>
      <c r="G68" s="36">
        <v>2649</v>
      </c>
      <c r="H68" s="61">
        <v>2669</v>
      </c>
      <c r="I68" s="61">
        <v>2694</v>
      </c>
      <c r="J68" s="61">
        <v>2721</v>
      </c>
      <c r="K68" s="61">
        <f>L68</f>
        <v>2766</v>
      </c>
      <c r="L68" s="81">
        <v>2766</v>
      </c>
      <c r="M68" s="61">
        <v>2789</v>
      </c>
      <c r="N68" s="61">
        <v>2807</v>
      </c>
      <c r="O68" s="61">
        <v>2825</v>
      </c>
      <c r="P68" s="61">
        <f>Q68</f>
        <v>2857</v>
      </c>
      <c r="Q68" s="81">
        <v>2857</v>
      </c>
      <c r="R68" s="61">
        <v>2861</v>
      </c>
      <c r="S68" s="61">
        <v>2827</v>
      </c>
      <c r="T68" s="61">
        <v>2842</v>
      </c>
      <c r="U68" s="61">
        <v>2847</v>
      </c>
      <c r="V68" s="81">
        <v>2847</v>
      </c>
      <c r="W68" s="61">
        <v>2876</v>
      </c>
      <c r="X68" s="61">
        <v>2859</v>
      </c>
      <c r="Y68" s="61">
        <v>2839</v>
      </c>
      <c r="Z68" s="61">
        <v>2800</v>
      </c>
      <c r="AA68" s="81">
        <v>2800</v>
      </c>
      <c r="AB68" s="61">
        <v>2741</v>
      </c>
      <c r="AC68" s="61">
        <v>2702</v>
      </c>
      <c r="AD68" s="61">
        <v>2683</v>
      </c>
      <c r="AE68" s="61">
        <v>2642</v>
      </c>
      <c r="AF68" s="81">
        <v>2642</v>
      </c>
      <c r="AG68" s="61">
        <v>2631</v>
      </c>
      <c r="AH68" s="61">
        <v>2610</v>
      </c>
      <c r="AI68" s="61">
        <v>2600</v>
      </c>
      <c r="AJ68" s="61">
        <v>2586</v>
      </c>
      <c r="AK68" s="81">
        <v>2586</v>
      </c>
      <c r="AL68" s="61">
        <v>2565</v>
      </c>
      <c r="AM68" s="61">
        <v>2566</v>
      </c>
      <c r="AN68" s="61">
        <v>2569</v>
      </c>
      <c r="AO68" s="61">
        <v>2651</v>
      </c>
      <c r="AP68" s="81">
        <v>2651</v>
      </c>
      <c r="AQ68" s="61">
        <v>2692</v>
      </c>
      <c r="AR68" s="61">
        <v>2260</v>
      </c>
      <c r="AS68" s="61">
        <v>2348</v>
      </c>
      <c r="AT68" s="61">
        <v>2402</v>
      </c>
      <c r="AU68" s="81">
        <v>2402</v>
      </c>
      <c r="AV68" s="61">
        <v>2430</v>
      </c>
      <c r="AW68" s="61">
        <v>2410</v>
      </c>
      <c r="AX68" s="61">
        <v>2475</v>
      </c>
      <c r="AY68" s="61">
        <v>2525</v>
      </c>
      <c r="AZ68" s="81">
        <v>2525</v>
      </c>
      <c r="BA68" s="61">
        <v>2546</v>
      </c>
      <c r="BB68" s="61">
        <v>2601</v>
      </c>
      <c r="BC68" s="61">
        <f>BC73+BC78</f>
        <v>2185</v>
      </c>
      <c r="BD68" s="61">
        <f>BE68</f>
        <v>2198</v>
      </c>
      <c r="BE68" s="81">
        <f>BE73+BE78</f>
        <v>2198</v>
      </c>
      <c r="BF68" s="61">
        <f>BF73+BF78</f>
        <v>2216</v>
      </c>
      <c r="BG68" s="61">
        <f>BG73+BG78</f>
        <v>2254</v>
      </c>
      <c r="BH68" s="61">
        <f>BH73+BH78</f>
        <v>2301</v>
      </c>
      <c r="BI68" s="61">
        <f>BJ68</f>
        <v>2327</v>
      </c>
      <c r="BJ68" s="81">
        <f>BJ73+BJ78</f>
        <v>2327</v>
      </c>
      <c r="BK68" s="61">
        <f>BK73+BK78</f>
        <v>2356</v>
      </c>
      <c r="BL68" s="61">
        <f>BL73+BL78</f>
        <v>2365</v>
      </c>
      <c r="BM68" s="61">
        <f>BM73+BM78</f>
        <v>2396</v>
      </c>
      <c r="BN68" s="61">
        <f>BO68</f>
        <v>2442</v>
      </c>
      <c r="BO68" s="81">
        <f>BO73+BO78</f>
        <v>2442</v>
      </c>
      <c r="BP68" s="61">
        <f>BP73+BP78</f>
        <v>2492</v>
      </c>
      <c r="BQ68" s="61">
        <f>BQ73+BQ78</f>
        <v>2521</v>
      </c>
      <c r="BR68" s="61">
        <f>BR73+BR78</f>
        <v>2547</v>
      </c>
      <c r="BS68" s="61">
        <f>BT68</f>
        <v>2576</v>
      </c>
      <c r="BT68" s="81">
        <f>BT73+BT78</f>
        <v>2576</v>
      </c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</row>
    <row r="69" spans="1:202">
      <c r="A69" s="62" t="s">
        <v>7</v>
      </c>
      <c r="B69" s="23"/>
      <c r="C69" s="63"/>
      <c r="D69" s="63">
        <f>D68/C68-1</f>
        <v>1.579961464354529E-2</v>
      </c>
      <c r="E69" s="63">
        <f>E68/D68-1</f>
        <v>2.3520485584218598E-2</v>
      </c>
      <c r="F69" s="63">
        <f>F68/E68-1</f>
        <v>-1.8161601186063803E-2</v>
      </c>
      <c r="G69" s="23"/>
      <c r="H69" s="63">
        <f>H68/F68-1</f>
        <v>7.5500188750472486E-3</v>
      </c>
      <c r="I69" s="63">
        <f>I68/H68-1</f>
        <v>9.3668040464593982E-3</v>
      </c>
      <c r="J69" s="63">
        <f>J68/I68-1</f>
        <v>1.0022271714922093E-2</v>
      </c>
      <c r="K69" s="63">
        <f>K68/J68-1</f>
        <v>1.6538037486218293E-2</v>
      </c>
      <c r="L69" s="26"/>
      <c r="M69" s="63">
        <f>M68/K68-1</f>
        <v>8.315256688358641E-3</v>
      </c>
      <c r="N69" s="63">
        <f>N68/M68-1</f>
        <v>6.4539261384009006E-3</v>
      </c>
      <c r="O69" s="63">
        <f>O68/N68-1</f>
        <v>6.4125400783754394E-3</v>
      </c>
      <c r="P69" s="63">
        <f>P68/O68-1</f>
        <v>1.1327433628318673E-2</v>
      </c>
      <c r="Q69" s="26"/>
      <c r="R69" s="63">
        <f>R68/P68-1</f>
        <v>1.4000700035001756E-3</v>
      </c>
      <c r="S69" s="63">
        <f>S68/R68-1</f>
        <v>-1.1883956658511052E-2</v>
      </c>
      <c r="T69" s="63">
        <f>T68/S68-1</f>
        <v>5.3059780686239844E-3</v>
      </c>
      <c r="U69" s="63">
        <f>U68/T68-1</f>
        <v>1.7593244194229474E-3</v>
      </c>
      <c r="V69" s="26"/>
      <c r="W69" s="63">
        <f>W68/U68-1</f>
        <v>1.0186160871092476E-2</v>
      </c>
      <c r="X69" s="63">
        <f>X68/W68-1</f>
        <v>-5.9109874826147601E-3</v>
      </c>
      <c r="Y69" s="63">
        <f>Y68/X68-1</f>
        <v>-6.9954529555789069E-3</v>
      </c>
      <c r="Z69" s="63">
        <f>Z68/Y68-1</f>
        <v>-1.3737231419513884E-2</v>
      </c>
      <c r="AA69" s="26"/>
      <c r="AB69" s="63">
        <f>AB68/Z68-1</f>
        <v>-2.1071428571428519E-2</v>
      </c>
      <c r="AC69" s="63">
        <f>AC68/AB68-1</f>
        <v>-1.4228383801532241E-2</v>
      </c>
      <c r="AD69" s="63">
        <f>AD68/AC68-1</f>
        <v>-7.0318282753515371E-3</v>
      </c>
      <c r="AE69" s="63">
        <f>AE68/AD68-1</f>
        <v>-1.5281401416325058E-2</v>
      </c>
      <c r="AF69" s="26"/>
      <c r="AG69" s="63">
        <f>AG68/AE68-1</f>
        <v>-4.1635124905374798E-3</v>
      </c>
      <c r="AH69" s="63">
        <f>AH68/AG68-1</f>
        <v>-7.9817559863170073E-3</v>
      </c>
      <c r="AI69" s="63">
        <f>AI68/AH68-1</f>
        <v>-3.8314176245211051E-3</v>
      </c>
      <c r="AJ69" s="63">
        <f>AJ68/AI68-1</f>
        <v>-5.3846153846154321E-3</v>
      </c>
      <c r="AK69" s="26"/>
      <c r="AL69" s="63">
        <f>AL68/AJ68-1</f>
        <v>-8.1206496519721227E-3</v>
      </c>
      <c r="AM69" s="63">
        <f>AM68/AL68-1</f>
        <v>3.898635477583845E-4</v>
      </c>
      <c r="AN69" s="63">
        <f>AN68/AM68-1</f>
        <v>1.1691348402182999E-3</v>
      </c>
      <c r="AO69" s="63">
        <f>AO68/AN68-1</f>
        <v>3.191903464383028E-2</v>
      </c>
      <c r="AP69" s="26"/>
      <c r="AQ69" s="63">
        <f>AQ68/AO68-1</f>
        <v>1.546586193889099E-2</v>
      </c>
      <c r="AR69" s="63">
        <f>AR68/AQ68-1</f>
        <v>-0.16047548291233282</v>
      </c>
      <c r="AS69" s="63">
        <f>AS68/AR68-1</f>
        <v>3.8938053097345104E-2</v>
      </c>
      <c r="AT69" s="63">
        <f>AT68/AS68-1</f>
        <v>2.2998296422487297E-2</v>
      </c>
      <c r="AU69" s="26"/>
      <c r="AV69" s="63">
        <f>AV68/AT68-1</f>
        <v>1.1656952539550458E-2</v>
      </c>
      <c r="AW69" s="63">
        <f>AW68/AV68-1</f>
        <v>-8.2304526748970819E-3</v>
      </c>
      <c r="AX69" s="63">
        <f>AX68/AW68-1</f>
        <v>2.6970954356846377E-2</v>
      </c>
      <c r="AY69" s="63">
        <f>AY68/AX68-1</f>
        <v>2.020202020202011E-2</v>
      </c>
      <c r="AZ69" s="26"/>
      <c r="BA69" s="63">
        <f>BA68/AY68-1</f>
        <v>8.3168316831683242E-3</v>
      </c>
      <c r="BB69" s="63">
        <f>BB68/BA68-1</f>
        <v>2.1602513747054131E-2</v>
      </c>
      <c r="BC69" s="63">
        <f>BC68/BB68-1</f>
        <v>-0.1599384851980008</v>
      </c>
      <c r="BD69" s="63">
        <f>BD68/BC68-1</f>
        <v>5.9496567505721298E-3</v>
      </c>
      <c r="BE69" s="26"/>
      <c r="BF69" s="63">
        <f>BF68/BD68-1</f>
        <v>8.189262966332933E-3</v>
      </c>
      <c r="BG69" s="63">
        <f>BG68/BF68-1</f>
        <v>1.7148014440433235E-2</v>
      </c>
      <c r="BH69" s="63">
        <f>BH68/BG68-1</f>
        <v>2.0851818988464998E-2</v>
      </c>
      <c r="BI69" s="63">
        <f>BI68/BH68-1</f>
        <v>1.1299435028248483E-2</v>
      </c>
      <c r="BJ69" s="26"/>
      <c r="BK69" s="63">
        <f>BK68/BI68-1</f>
        <v>1.2462397937258229E-2</v>
      </c>
      <c r="BL69" s="63">
        <f>BL68/BK68-1</f>
        <v>3.8200339558573937E-3</v>
      </c>
      <c r="BM69" s="63">
        <f>BM68/BL68-1</f>
        <v>1.3107822410147962E-2</v>
      </c>
      <c r="BN69" s="63">
        <f>BN68/BM68-1</f>
        <v>1.9198664440734481E-2</v>
      </c>
      <c r="BO69" s="26"/>
      <c r="BP69" s="63">
        <f>BP68/BN68-1</f>
        <v>2.0475020475020367E-2</v>
      </c>
      <c r="BQ69" s="63">
        <f>BQ68/BP68-1</f>
        <v>1.1637239165328994E-2</v>
      </c>
      <c r="BR69" s="63">
        <f>BR68/BQ68-1</f>
        <v>1.0313367711225707E-2</v>
      </c>
      <c r="BS69" s="63">
        <f>BS68/BR68-1</f>
        <v>1.1385944248134994E-2</v>
      </c>
      <c r="BT69" s="26"/>
    </row>
    <row r="70" spans="1:202">
      <c r="A70" s="62" t="s">
        <v>8</v>
      </c>
      <c r="B70" s="23"/>
      <c r="C70" s="64"/>
      <c r="D70" s="64"/>
      <c r="E70" s="64"/>
      <c r="F70" s="64"/>
      <c r="G70" s="23">
        <f t="shared" ref="G70:N70" si="39">G68/B68-1</f>
        <v>1.0297482837528626E-2</v>
      </c>
      <c r="H70" s="64">
        <f t="shared" si="39"/>
        <v>2.8516377649325575E-2</v>
      </c>
      <c r="I70" s="64">
        <f t="shared" si="39"/>
        <v>2.2003034901365792E-2</v>
      </c>
      <c r="J70" s="64">
        <f t="shared" si="39"/>
        <v>8.5248332097849211E-3</v>
      </c>
      <c r="K70" s="63">
        <f t="shared" si="39"/>
        <v>4.416761041902606E-2</v>
      </c>
      <c r="L70" s="23">
        <f t="shared" si="39"/>
        <v>4.416761041902606E-2</v>
      </c>
      <c r="M70" s="64">
        <f t="shared" si="39"/>
        <v>4.4960659423004978E-2</v>
      </c>
      <c r="N70" s="64">
        <f t="shared" si="39"/>
        <v>4.1945063103192348E-2</v>
      </c>
      <c r="O70" s="64">
        <f t="shared" ref="O70:Y70" si="40">O68/J68-1</f>
        <v>3.8221242190371152E-2</v>
      </c>
      <c r="P70" s="63">
        <f t="shared" si="40"/>
        <v>3.2899493853940642E-2</v>
      </c>
      <c r="Q70" s="23">
        <f t="shared" si="40"/>
        <v>3.2899493853940642E-2</v>
      </c>
      <c r="R70" s="64">
        <f t="shared" si="40"/>
        <v>2.581570455360338E-2</v>
      </c>
      <c r="S70" s="64">
        <f t="shared" si="40"/>
        <v>7.1250445315282906E-3</v>
      </c>
      <c r="T70" s="64">
        <f t="shared" si="40"/>
        <v>6.0176991150442394E-3</v>
      </c>
      <c r="U70" s="63">
        <f t="shared" si="40"/>
        <v>-3.5001750087504391E-3</v>
      </c>
      <c r="V70" s="23">
        <f t="shared" si="40"/>
        <v>-3.5001750087504391E-3</v>
      </c>
      <c r="W70" s="64">
        <f t="shared" si="40"/>
        <v>5.2429220552254741E-3</v>
      </c>
      <c r="X70" s="64">
        <f t="shared" si="40"/>
        <v>1.1319419879731063E-2</v>
      </c>
      <c r="Y70" s="64">
        <f t="shared" si="40"/>
        <v>-1.055594651653724E-3</v>
      </c>
      <c r="Z70" s="63">
        <f t="shared" ref="Z70:AI70" si="41">Z68/U68-1</f>
        <v>-1.6508605549701461E-2</v>
      </c>
      <c r="AA70" s="23">
        <f t="shared" si="41"/>
        <v>-1.6508605549701461E-2</v>
      </c>
      <c r="AB70" s="64">
        <f t="shared" si="41"/>
        <v>-4.6940194714881756E-2</v>
      </c>
      <c r="AC70" s="64">
        <f t="shared" si="41"/>
        <v>-5.4914305701294186E-2</v>
      </c>
      <c r="AD70" s="64">
        <f t="shared" si="41"/>
        <v>-5.4948925678055649E-2</v>
      </c>
      <c r="AE70" s="63">
        <f t="shared" si="41"/>
        <v>-5.6428571428571384E-2</v>
      </c>
      <c r="AF70" s="23">
        <f t="shared" si="41"/>
        <v>-5.6428571428571384E-2</v>
      </c>
      <c r="AG70" s="64">
        <f t="shared" si="41"/>
        <v>-4.013133892739873E-2</v>
      </c>
      <c r="AH70" s="64">
        <f t="shared" si="41"/>
        <v>-3.4048852701702437E-2</v>
      </c>
      <c r="AI70" s="64">
        <f t="shared" si="41"/>
        <v>-3.0935519940365253E-2</v>
      </c>
      <c r="AJ70" s="63">
        <f t="shared" ref="AJ70:AS70" si="42">AJ68/AE68-1</f>
        <v>-2.1196063588190817E-2</v>
      </c>
      <c r="AK70" s="23">
        <f t="shared" si="42"/>
        <v>-2.1196063588190817E-2</v>
      </c>
      <c r="AL70" s="64">
        <f t="shared" si="42"/>
        <v>-2.5085518814139118E-2</v>
      </c>
      <c r="AM70" s="64">
        <f t="shared" si="42"/>
        <v>-1.6858237547892729E-2</v>
      </c>
      <c r="AN70" s="64">
        <f t="shared" si="42"/>
        <v>-1.1923076923076925E-2</v>
      </c>
      <c r="AO70" s="63">
        <f t="shared" si="42"/>
        <v>2.5135344160866158E-2</v>
      </c>
      <c r="AP70" s="23">
        <f t="shared" si="42"/>
        <v>2.5135344160866158E-2</v>
      </c>
      <c r="AQ70" s="64">
        <f t="shared" si="42"/>
        <v>4.9512670565302175E-2</v>
      </c>
      <c r="AR70" s="64">
        <f t="shared" si="42"/>
        <v>-0.11925175370226038</v>
      </c>
      <c r="AS70" s="64">
        <f t="shared" si="42"/>
        <v>-8.6025690930323084E-2</v>
      </c>
      <c r="AT70" s="63">
        <f t="shared" ref="AT70:BT70" si="43">AT68/AO68-1</f>
        <v>-9.3926820067898875E-2</v>
      </c>
      <c r="AU70" s="23">
        <f t="shared" si="43"/>
        <v>-9.3926820067898875E-2</v>
      </c>
      <c r="AV70" s="64">
        <f t="shared" si="43"/>
        <v>-9.7325408618127773E-2</v>
      </c>
      <c r="AW70" s="64">
        <f t="shared" si="43"/>
        <v>6.6371681415929196E-2</v>
      </c>
      <c r="AX70" s="64">
        <f t="shared" si="43"/>
        <v>5.4088586030664354E-2</v>
      </c>
      <c r="AY70" s="63">
        <f t="shared" si="43"/>
        <v>5.1207327227310584E-2</v>
      </c>
      <c r="AZ70" s="23">
        <f t="shared" si="43"/>
        <v>5.1207327227310584E-2</v>
      </c>
      <c r="BA70" s="64">
        <f t="shared" si="43"/>
        <v>4.7736625514403386E-2</v>
      </c>
      <c r="BB70" s="64">
        <f t="shared" si="43"/>
        <v>7.9253112033194961E-2</v>
      </c>
      <c r="BC70" s="64">
        <f t="shared" si="43"/>
        <v>-0.11717171717171715</v>
      </c>
      <c r="BD70" s="63">
        <f t="shared" si="43"/>
        <v>-0.12950495049504951</v>
      </c>
      <c r="BE70" s="23">
        <f t="shared" si="43"/>
        <v>-0.12950495049504951</v>
      </c>
      <c r="BF70" s="64">
        <f t="shared" si="43"/>
        <v>-0.12961508248232523</v>
      </c>
      <c r="BG70" s="64">
        <f t="shared" si="43"/>
        <v>-0.13341022683583237</v>
      </c>
      <c r="BH70" s="64">
        <f t="shared" si="43"/>
        <v>5.3089244851258544E-2</v>
      </c>
      <c r="BI70" s="63">
        <f t="shared" si="43"/>
        <v>5.8689717925386686E-2</v>
      </c>
      <c r="BJ70" s="23">
        <f t="shared" si="43"/>
        <v>5.8689717925386686E-2</v>
      </c>
      <c r="BK70" s="64">
        <f t="shared" si="43"/>
        <v>6.3176895306859215E-2</v>
      </c>
      <c r="BL70" s="64">
        <f t="shared" si="43"/>
        <v>4.924578527063006E-2</v>
      </c>
      <c r="BM70" s="64">
        <f t="shared" si="43"/>
        <v>4.1286397218600612E-2</v>
      </c>
      <c r="BN70" s="63">
        <f t="shared" si="43"/>
        <v>4.9419853889127729E-2</v>
      </c>
      <c r="BO70" s="23">
        <f t="shared" si="43"/>
        <v>4.9419853889127729E-2</v>
      </c>
      <c r="BP70" s="64">
        <f t="shared" si="43"/>
        <v>5.7724957555178369E-2</v>
      </c>
      <c r="BQ70" s="64">
        <f t="shared" si="43"/>
        <v>6.5961945031712377E-2</v>
      </c>
      <c r="BR70" s="64">
        <f t="shared" si="43"/>
        <v>6.302170283806352E-2</v>
      </c>
      <c r="BS70" s="63">
        <f t="shared" si="43"/>
        <v>5.4873054873054938E-2</v>
      </c>
      <c r="BT70" s="23">
        <f t="shared" si="43"/>
        <v>5.4873054873054938E-2</v>
      </c>
    </row>
    <row r="71" spans="1:202">
      <c r="A71" s="62" t="s">
        <v>156</v>
      </c>
      <c r="B71" s="23"/>
      <c r="C71" s="64"/>
      <c r="D71" s="64"/>
      <c r="E71" s="64"/>
      <c r="F71" s="64"/>
      <c r="G71" s="23"/>
      <c r="H71" s="64"/>
      <c r="I71" s="64"/>
      <c r="J71" s="64"/>
      <c r="K71" s="63"/>
      <c r="L71" s="23"/>
      <c r="M71" s="64"/>
      <c r="N71" s="64"/>
      <c r="O71" s="64"/>
      <c r="P71" s="63"/>
      <c r="Q71" s="177">
        <f>Q68-L68</f>
        <v>91</v>
      </c>
      <c r="R71" s="64"/>
      <c r="S71" s="64"/>
      <c r="T71" s="64"/>
      <c r="U71" s="63"/>
      <c r="V71" s="289">
        <f>V68-Q68</f>
        <v>-10</v>
      </c>
      <c r="W71" s="290"/>
      <c r="X71" s="290"/>
      <c r="Y71" s="290"/>
      <c r="Z71" s="291"/>
      <c r="AA71" s="289">
        <f>AA68-V68</f>
        <v>-47</v>
      </c>
      <c r="AB71" s="290"/>
      <c r="AC71" s="290"/>
      <c r="AD71" s="290"/>
      <c r="AE71" s="291"/>
      <c r="AF71" s="289">
        <f>AF68-AA68</f>
        <v>-158</v>
      </c>
      <c r="AG71" s="290"/>
      <c r="AH71" s="290"/>
      <c r="AI71" s="290"/>
      <c r="AJ71" s="291"/>
      <c r="AK71" s="289">
        <f>AK68-AF68</f>
        <v>-56</v>
      </c>
      <c r="AL71" s="290"/>
      <c r="AM71" s="292">
        <f>AM68-AL68</f>
        <v>1</v>
      </c>
      <c r="AN71" s="292">
        <f>AN68-AM68</f>
        <v>3</v>
      </c>
      <c r="AO71" s="292">
        <f>AO68-AN68</f>
        <v>82</v>
      </c>
      <c r="AP71" s="289">
        <f>AP68-AK68</f>
        <v>65</v>
      </c>
      <c r="AQ71" s="293">
        <f>AQ68-AO68</f>
        <v>41</v>
      </c>
      <c r="AR71" s="293">
        <f>AR68-AQ68</f>
        <v>-432</v>
      </c>
      <c r="AS71" s="293">
        <f>AS68-AR68</f>
        <v>88</v>
      </c>
      <c r="AT71" s="293">
        <f>AT68-AS68</f>
        <v>54</v>
      </c>
      <c r="AU71" s="289">
        <f>AU68-AP68</f>
        <v>-249</v>
      </c>
      <c r="AV71" s="293">
        <f>AV68-AT68</f>
        <v>28</v>
      </c>
      <c r="AW71" s="293">
        <f>AW68-AV68</f>
        <v>-20</v>
      </c>
      <c r="AX71" s="293">
        <f>AX68-AW68</f>
        <v>65</v>
      </c>
      <c r="AY71" s="293">
        <f>AY68-AX68</f>
        <v>50</v>
      </c>
      <c r="AZ71" s="289">
        <f>AZ68-AU68</f>
        <v>123</v>
      </c>
      <c r="BA71" s="293">
        <f>BA68-AY68</f>
        <v>21</v>
      </c>
      <c r="BB71" s="293">
        <f>BB68-BA68</f>
        <v>55</v>
      </c>
      <c r="BC71" s="293">
        <f>BC68-BB68</f>
        <v>-416</v>
      </c>
      <c r="BD71" s="293">
        <f>BD68-BC68</f>
        <v>13</v>
      </c>
      <c r="BE71" s="289">
        <f>BE68-AZ68</f>
        <v>-327</v>
      </c>
      <c r="BF71" s="293">
        <f>BF68-BD68</f>
        <v>18</v>
      </c>
      <c r="BG71" s="293">
        <f>BG68-BF68</f>
        <v>38</v>
      </c>
      <c r="BH71" s="293">
        <f>BH68-BG68</f>
        <v>47</v>
      </c>
      <c r="BI71" s="293">
        <f>BI68-BH68</f>
        <v>26</v>
      </c>
      <c r="BJ71" s="289">
        <f>BJ68-BE68</f>
        <v>129</v>
      </c>
      <c r="BK71" s="293">
        <f>BK68-BI68</f>
        <v>29</v>
      </c>
      <c r="BL71" s="293">
        <f>BL68-BK68</f>
        <v>9</v>
      </c>
      <c r="BM71" s="293">
        <f>BM68-BL68</f>
        <v>31</v>
      </c>
      <c r="BN71" s="293">
        <f>BN68-BM68</f>
        <v>46</v>
      </c>
      <c r="BO71" s="289">
        <f>BO68-BJ68</f>
        <v>115</v>
      </c>
      <c r="BP71" s="293">
        <f>BP68-BN68</f>
        <v>50</v>
      </c>
      <c r="BQ71" s="293">
        <f>BQ68-BP68</f>
        <v>29</v>
      </c>
      <c r="BR71" s="293">
        <f>BR68-BQ68</f>
        <v>26</v>
      </c>
      <c r="BS71" s="293">
        <f>BS68-BR68</f>
        <v>29</v>
      </c>
      <c r="BT71" s="289">
        <f>BT68-BO68</f>
        <v>134</v>
      </c>
    </row>
    <row r="72" spans="1:202" ht="4.1500000000000004" customHeight="1">
      <c r="A72" s="62"/>
      <c r="B72" s="23"/>
      <c r="C72" s="64"/>
      <c r="D72" s="64"/>
      <c r="E72" s="64"/>
      <c r="F72" s="64"/>
      <c r="G72" s="23"/>
      <c r="H72" s="64"/>
      <c r="I72" s="64"/>
      <c r="J72" s="64"/>
      <c r="K72" s="63"/>
      <c r="L72" s="23"/>
      <c r="M72" s="64"/>
      <c r="N72" s="64"/>
      <c r="O72" s="64"/>
      <c r="P72" s="63"/>
      <c r="Q72" s="23"/>
      <c r="R72" s="64"/>
      <c r="S72" s="64"/>
      <c r="T72" s="64"/>
      <c r="U72" s="63"/>
      <c r="V72" s="23"/>
      <c r="W72" s="64"/>
      <c r="X72" s="64"/>
      <c r="Y72" s="64"/>
      <c r="Z72" s="63"/>
      <c r="AA72" s="23"/>
      <c r="AB72" s="64"/>
      <c r="AC72" s="64"/>
      <c r="AD72" s="64"/>
      <c r="AE72" s="63"/>
      <c r="AF72" s="23"/>
      <c r="AG72" s="64"/>
      <c r="AH72" s="64"/>
      <c r="AI72" s="64"/>
      <c r="AJ72" s="63"/>
      <c r="AK72" s="23"/>
      <c r="AL72" s="64"/>
      <c r="AM72" s="174"/>
      <c r="AN72" s="174"/>
      <c r="AO72" s="174"/>
      <c r="AP72" s="175"/>
      <c r="AQ72" s="176"/>
      <c r="AR72" s="176"/>
      <c r="AS72" s="176"/>
      <c r="AT72" s="176"/>
      <c r="AU72" s="177"/>
      <c r="AV72" s="176"/>
      <c r="AW72" s="176"/>
      <c r="AX72" s="176"/>
      <c r="AY72" s="176"/>
      <c r="AZ72" s="177"/>
      <c r="BA72" s="176"/>
      <c r="BB72" s="176"/>
      <c r="BC72" s="176"/>
      <c r="BD72" s="176"/>
      <c r="BE72" s="177"/>
      <c r="BF72" s="176"/>
      <c r="BG72" s="176"/>
      <c r="BH72" s="176"/>
      <c r="BI72" s="176"/>
      <c r="BJ72" s="177"/>
      <c r="BK72" s="176"/>
      <c r="BL72" s="176"/>
      <c r="BM72" s="176"/>
      <c r="BN72" s="176"/>
      <c r="BO72" s="177"/>
      <c r="BP72" s="176"/>
      <c r="BQ72" s="176"/>
      <c r="BR72" s="176"/>
      <c r="BS72" s="176"/>
      <c r="BT72" s="177"/>
    </row>
    <row r="73" spans="1:202">
      <c r="A73" s="60" t="s">
        <v>211</v>
      </c>
      <c r="B73" s="89" t="s">
        <v>35</v>
      </c>
      <c r="C73" s="70" t="s">
        <v>38</v>
      </c>
      <c r="D73" s="70" t="s">
        <v>38</v>
      </c>
      <c r="E73" s="70" t="s">
        <v>38</v>
      </c>
      <c r="F73" s="70" t="s">
        <v>38</v>
      </c>
      <c r="G73" s="89" t="s">
        <v>35</v>
      </c>
      <c r="H73" s="70" t="s">
        <v>38</v>
      </c>
      <c r="I73" s="70" t="s">
        <v>38</v>
      </c>
      <c r="J73" s="70" t="s">
        <v>38</v>
      </c>
      <c r="K73" s="70" t="s">
        <v>38</v>
      </c>
      <c r="L73" s="89" t="s">
        <v>35</v>
      </c>
      <c r="M73" s="70" t="s">
        <v>38</v>
      </c>
      <c r="N73" s="70" t="s">
        <v>38</v>
      </c>
      <c r="O73" s="70" t="s">
        <v>38</v>
      </c>
      <c r="P73" s="70" t="s">
        <v>38</v>
      </c>
      <c r="Q73" s="89" t="s">
        <v>35</v>
      </c>
      <c r="R73" s="70" t="s">
        <v>38</v>
      </c>
      <c r="S73" s="70" t="s">
        <v>38</v>
      </c>
      <c r="T73" s="70" t="s">
        <v>38</v>
      </c>
      <c r="U73" s="70" t="s">
        <v>38</v>
      </c>
      <c r="V73" s="89" t="s">
        <v>35</v>
      </c>
      <c r="W73" s="70" t="s">
        <v>38</v>
      </c>
      <c r="X73" s="70" t="s">
        <v>38</v>
      </c>
      <c r="Y73" s="70" t="s">
        <v>38</v>
      </c>
      <c r="Z73" s="70" t="s">
        <v>38</v>
      </c>
      <c r="AA73" s="89" t="s">
        <v>35</v>
      </c>
      <c r="AB73" s="70" t="s">
        <v>38</v>
      </c>
      <c r="AC73" s="70" t="s">
        <v>38</v>
      </c>
      <c r="AD73" s="70" t="s">
        <v>38</v>
      </c>
      <c r="AE73" s="70" t="s">
        <v>38</v>
      </c>
      <c r="AF73" s="89" t="s">
        <v>35</v>
      </c>
      <c r="AG73" s="70" t="s">
        <v>38</v>
      </c>
      <c r="AH73" s="70" t="s">
        <v>38</v>
      </c>
      <c r="AI73" s="70" t="s">
        <v>38</v>
      </c>
      <c r="AJ73" s="61">
        <v>1750</v>
      </c>
      <c r="AK73" s="81">
        <f>AK68-AK78</f>
        <v>1750</v>
      </c>
      <c r="AL73" s="70" t="s">
        <v>38</v>
      </c>
      <c r="AM73" s="70" t="s">
        <v>38</v>
      </c>
      <c r="AN73" s="70" t="s">
        <v>38</v>
      </c>
      <c r="AO73" s="61">
        <f>AO68-AO78</f>
        <v>1726</v>
      </c>
      <c r="AP73" s="81">
        <f>AP68-AP78</f>
        <v>1726</v>
      </c>
      <c r="AQ73" s="70" t="s">
        <v>38</v>
      </c>
      <c r="AR73" s="70" t="s">
        <v>38</v>
      </c>
      <c r="AS73" s="70" t="s">
        <v>38</v>
      </c>
      <c r="AT73" s="61">
        <v>1669</v>
      </c>
      <c r="AU73" s="81">
        <f>AU68-AU78</f>
        <v>1669</v>
      </c>
      <c r="AV73" s="61">
        <v>1659</v>
      </c>
      <c r="AW73" s="61">
        <v>1663</v>
      </c>
      <c r="AX73" s="61">
        <v>1697</v>
      </c>
      <c r="AY73" s="61">
        <v>1729</v>
      </c>
      <c r="AZ73" s="81">
        <v>1729</v>
      </c>
      <c r="BA73" s="61">
        <v>1760</v>
      </c>
      <c r="BB73" s="61">
        <v>1800</v>
      </c>
      <c r="BC73" s="61">
        <v>1817</v>
      </c>
      <c r="BD73" s="61">
        <f>BE73</f>
        <v>1824</v>
      </c>
      <c r="BE73" s="81">
        <v>1824</v>
      </c>
      <c r="BF73" s="61">
        <v>1834</v>
      </c>
      <c r="BG73" s="61">
        <v>1857</v>
      </c>
      <c r="BH73" s="61">
        <v>1886</v>
      </c>
      <c r="BI73" s="61">
        <v>1902</v>
      </c>
      <c r="BJ73" s="81">
        <v>1902</v>
      </c>
      <c r="BK73" s="61">
        <v>1928</v>
      </c>
      <c r="BL73" s="61">
        <v>1948</v>
      </c>
      <c r="BM73" s="61">
        <v>1976</v>
      </c>
      <c r="BN73" s="61">
        <f>BO73</f>
        <v>2004</v>
      </c>
      <c r="BO73" s="81">
        <v>2004</v>
      </c>
      <c r="BP73" s="61">
        <v>2030</v>
      </c>
      <c r="BQ73" s="61">
        <v>2050</v>
      </c>
      <c r="BR73" s="61">
        <v>2074</v>
      </c>
      <c r="BS73" s="61">
        <f>BT73</f>
        <v>2096</v>
      </c>
      <c r="BT73" s="81">
        <v>2096</v>
      </c>
    </row>
    <row r="74" spans="1:202">
      <c r="A74" s="62" t="s">
        <v>7</v>
      </c>
      <c r="B74" s="23"/>
      <c r="C74" s="64"/>
      <c r="D74" s="64"/>
      <c r="E74" s="64"/>
      <c r="F74" s="64"/>
      <c r="G74" s="23"/>
      <c r="H74" s="64"/>
      <c r="I74" s="64"/>
      <c r="J74" s="64"/>
      <c r="K74" s="63"/>
      <c r="L74" s="23"/>
      <c r="M74" s="64"/>
      <c r="N74" s="64"/>
      <c r="O74" s="64"/>
      <c r="P74" s="63"/>
      <c r="Q74" s="23"/>
      <c r="R74" s="64"/>
      <c r="S74" s="64"/>
      <c r="T74" s="64"/>
      <c r="U74" s="63"/>
      <c r="V74" s="23"/>
      <c r="W74" s="64"/>
      <c r="X74" s="64"/>
      <c r="Y74" s="64"/>
      <c r="Z74" s="63"/>
      <c r="AA74" s="23"/>
      <c r="AB74" s="64"/>
      <c r="AC74" s="64"/>
      <c r="AD74" s="64"/>
      <c r="AE74" s="63"/>
      <c r="AF74" s="23"/>
      <c r="AG74" s="64"/>
      <c r="AH74" s="64"/>
      <c r="AI74" s="64"/>
      <c r="AJ74" s="63"/>
      <c r="AK74" s="23"/>
      <c r="AL74" s="63"/>
      <c r="AM74" s="63"/>
      <c r="AN74" s="63"/>
      <c r="AO74" s="63"/>
      <c r="AP74" s="23"/>
      <c r="AQ74" s="64"/>
      <c r="AR74" s="64"/>
      <c r="AS74" s="64"/>
      <c r="AT74" s="63"/>
      <c r="AU74" s="23"/>
      <c r="AV74" s="63">
        <f>AV73/AT73-1</f>
        <v>-5.9916117435589999E-3</v>
      </c>
      <c r="AW74" s="63">
        <f>AW73/AV73-1</f>
        <v>2.4110910186858625E-3</v>
      </c>
      <c r="AX74" s="63">
        <f>AX73/AW73-1</f>
        <v>2.0444978953698234E-2</v>
      </c>
      <c r="AY74" s="63">
        <f>AY73/AX73-1</f>
        <v>1.8856806128461967E-2</v>
      </c>
      <c r="AZ74" s="23"/>
      <c r="BA74" s="63">
        <f>BA73/AY73-1</f>
        <v>1.7929438982070556E-2</v>
      </c>
      <c r="BB74" s="63">
        <f>BB73/BA73-1</f>
        <v>2.2727272727272707E-2</v>
      </c>
      <c r="BC74" s="63">
        <f>BC73/BB73-1</f>
        <v>9.4444444444443665E-3</v>
      </c>
      <c r="BD74" s="63">
        <f>BD73/BC73-1</f>
        <v>3.8525041276828986E-3</v>
      </c>
      <c r="BE74" s="23"/>
      <c r="BF74" s="63">
        <f>BF73/BD73-1</f>
        <v>5.482456140350811E-3</v>
      </c>
      <c r="BG74" s="63">
        <f>BG73/BF73-1</f>
        <v>1.2540894220283594E-2</v>
      </c>
      <c r="BH74" s="63">
        <f>BH73/BG73-1</f>
        <v>1.5616585891222501E-2</v>
      </c>
      <c r="BI74" s="63">
        <f>BI73/BH73-1</f>
        <v>8.4835630965005571E-3</v>
      </c>
      <c r="BJ74" s="23"/>
      <c r="BK74" s="63">
        <f>BK73/BI73-1</f>
        <v>1.3669821240799074E-2</v>
      </c>
      <c r="BL74" s="63">
        <f>BL73/BK73-1</f>
        <v>1.0373443983402453E-2</v>
      </c>
      <c r="BM74" s="63">
        <f>BM73/BL73-1</f>
        <v>1.4373716632443578E-2</v>
      </c>
      <c r="BN74" s="63">
        <f>BN73/BM73-1</f>
        <v>1.4170040485830038E-2</v>
      </c>
      <c r="BO74" s="23"/>
      <c r="BP74" s="63">
        <f>BP73/BN73-1</f>
        <v>1.2974051896207595E-2</v>
      </c>
      <c r="BQ74" s="63">
        <f>BQ73/BP73-1</f>
        <v>9.8522167487684609E-3</v>
      </c>
      <c r="BR74" s="63">
        <f>BR73/BQ73-1</f>
        <v>1.1707317073170742E-2</v>
      </c>
      <c r="BS74" s="63">
        <f>BS73/BR73-1</f>
        <v>1.060752169720347E-2</v>
      </c>
      <c r="BT74" s="23"/>
    </row>
    <row r="75" spans="1:202">
      <c r="A75" s="62" t="s">
        <v>8</v>
      </c>
      <c r="B75" s="23"/>
      <c r="C75" s="64"/>
      <c r="D75" s="64"/>
      <c r="E75" s="64"/>
      <c r="F75" s="64"/>
      <c r="G75" s="23"/>
      <c r="H75" s="64"/>
      <c r="I75" s="64"/>
      <c r="J75" s="64"/>
      <c r="K75" s="63"/>
      <c r="L75" s="23"/>
      <c r="M75" s="64"/>
      <c r="N75" s="64"/>
      <c r="O75" s="64"/>
      <c r="P75" s="63"/>
      <c r="Q75" s="23"/>
      <c r="R75" s="64"/>
      <c r="S75" s="64"/>
      <c r="T75" s="64"/>
      <c r="U75" s="63"/>
      <c r="V75" s="23"/>
      <c r="W75" s="64"/>
      <c r="X75" s="64"/>
      <c r="Y75" s="64"/>
      <c r="Z75" s="63"/>
      <c r="AA75" s="23"/>
      <c r="AB75" s="64"/>
      <c r="AC75" s="64"/>
      <c r="AD75" s="64"/>
      <c r="AE75" s="63"/>
      <c r="AF75" s="23"/>
      <c r="AG75" s="64"/>
      <c r="AH75" s="64"/>
      <c r="AI75" s="64"/>
      <c r="AJ75" s="63"/>
      <c r="AK75" s="23"/>
      <c r="AL75" s="64"/>
      <c r="AM75" s="64"/>
      <c r="AN75" s="64"/>
      <c r="AO75" s="63">
        <f>AO73/AJ73-1</f>
        <v>-1.3714285714285679E-2</v>
      </c>
      <c r="AP75" s="23">
        <f>AP73/AK73-1</f>
        <v>-1.3714285714285679E-2</v>
      </c>
      <c r="AQ75" s="64"/>
      <c r="AR75" s="64"/>
      <c r="AS75" s="64"/>
      <c r="AT75" s="63">
        <f>AT73/AO73-1</f>
        <v>-3.3024333719582799E-2</v>
      </c>
      <c r="AU75" s="23">
        <f>AU73/AP73-1</f>
        <v>-3.3024333719582799E-2</v>
      </c>
      <c r="AV75" s="64"/>
      <c r="AW75" s="64"/>
      <c r="AX75" s="64"/>
      <c r="AY75" s="63">
        <f>AY73/AT73-1</f>
        <v>3.5949670461354E-2</v>
      </c>
      <c r="AZ75" s="23"/>
      <c r="BA75" s="64">
        <f>BA73/AV73-1</f>
        <v>6.088004822182036E-2</v>
      </c>
      <c r="BB75" s="64">
        <f>BB73/AW73-1</f>
        <v>8.2381238725195427E-2</v>
      </c>
      <c r="BC75" s="64">
        <f>BC73/AX73-1</f>
        <v>7.0713022981732543E-2</v>
      </c>
      <c r="BD75" s="63">
        <f>BD73/AY73-1</f>
        <v>5.4945054945054972E-2</v>
      </c>
      <c r="BE75" s="23"/>
      <c r="BF75" s="64">
        <f>BF73/BA73-1</f>
        <v>4.2045454545454497E-2</v>
      </c>
      <c r="BG75" s="64">
        <f>BG73/BB73-1</f>
        <v>3.1666666666666732E-2</v>
      </c>
      <c r="BH75" s="64">
        <f>BH73/BC73-1</f>
        <v>3.7974683544303778E-2</v>
      </c>
      <c r="BI75" s="63">
        <f>BI73/BD73-1</f>
        <v>4.2763157894736947E-2</v>
      </c>
      <c r="BJ75" s="23"/>
      <c r="BK75" s="64">
        <f>BK73/BF73-1</f>
        <v>5.1254089422028359E-2</v>
      </c>
      <c r="BL75" s="64">
        <f>BL73/BG73-1</f>
        <v>4.9003769520732376E-2</v>
      </c>
      <c r="BM75" s="64">
        <f>BM73/BH73-1</f>
        <v>4.7720042417815467E-2</v>
      </c>
      <c r="BN75" s="63">
        <f>BN73/BI73-1</f>
        <v>5.3627760252366041E-2</v>
      </c>
      <c r="BO75" s="23"/>
      <c r="BP75" s="64">
        <f>BP73/BK73-1</f>
        <v>5.2904564315352731E-2</v>
      </c>
      <c r="BQ75" s="64">
        <f>BQ73/BL73-1</f>
        <v>5.2361396303901353E-2</v>
      </c>
      <c r="BR75" s="64">
        <f>BR73/BM73-1</f>
        <v>4.9595141700404799E-2</v>
      </c>
      <c r="BS75" s="63">
        <f>BS73/BN73-1</f>
        <v>4.5908183632734634E-2</v>
      </c>
      <c r="BT75" s="23"/>
    </row>
    <row r="76" spans="1:202">
      <c r="A76" s="62" t="s">
        <v>156</v>
      </c>
      <c r="B76" s="23"/>
      <c r="C76" s="64"/>
      <c r="D76" s="64"/>
      <c r="E76" s="64"/>
      <c r="F76" s="64"/>
      <c r="G76" s="23"/>
      <c r="H76" s="64"/>
      <c r="I76" s="64"/>
      <c r="J76" s="64"/>
      <c r="K76" s="63"/>
      <c r="L76" s="23"/>
      <c r="M76" s="64"/>
      <c r="N76" s="64"/>
      <c r="O76" s="64"/>
      <c r="P76" s="63"/>
      <c r="Q76" s="23"/>
      <c r="R76" s="64"/>
      <c r="S76" s="64"/>
      <c r="T76" s="64"/>
      <c r="U76" s="63"/>
      <c r="V76" s="297"/>
      <c r="W76" s="290"/>
      <c r="X76" s="290"/>
      <c r="Y76" s="290"/>
      <c r="Z76" s="291"/>
      <c r="AA76" s="297"/>
      <c r="AB76" s="290"/>
      <c r="AC76" s="290"/>
      <c r="AD76" s="290"/>
      <c r="AE76" s="291"/>
      <c r="AF76" s="297"/>
      <c r="AG76" s="290"/>
      <c r="AH76" s="290"/>
      <c r="AI76" s="290"/>
      <c r="AJ76" s="291"/>
      <c r="AK76" s="289"/>
      <c r="AL76" s="290"/>
      <c r="AM76" s="292"/>
      <c r="AN76" s="292"/>
      <c r="AO76" s="292"/>
      <c r="AP76" s="289">
        <f>AP73-AK73</f>
        <v>-24</v>
      </c>
      <c r="AQ76" s="293"/>
      <c r="AR76" s="293"/>
      <c r="AS76" s="293"/>
      <c r="AT76" s="293"/>
      <c r="AU76" s="289">
        <f>AU73-AP73</f>
        <v>-57</v>
      </c>
      <c r="AV76" s="293">
        <f>AV73-AT73</f>
        <v>-10</v>
      </c>
      <c r="AW76" s="293">
        <f>AW73-AV73</f>
        <v>4</v>
      </c>
      <c r="AX76" s="293">
        <f>AX73-AW73</f>
        <v>34</v>
      </c>
      <c r="AY76" s="293">
        <f>AY73-AX73</f>
        <v>32</v>
      </c>
      <c r="AZ76" s="289">
        <f>AZ73-AU73</f>
        <v>60</v>
      </c>
      <c r="BA76" s="293">
        <f>BA73-AY73</f>
        <v>31</v>
      </c>
      <c r="BB76" s="293">
        <f>BB73-BA73</f>
        <v>40</v>
      </c>
      <c r="BC76" s="293">
        <f>BC73-BB73</f>
        <v>17</v>
      </c>
      <c r="BD76" s="293">
        <f>BD73-BC73</f>
        <v>7</v>
      </c>
      <c r="BE76" s="289">
        <f>BE73-AZ73</f>
        <v>95</v>
      </c>
      <c r="BF76" s="293">
        <f>BF73-BD73</f>
        <v>10</v>
      </c>
      <c r="BG76" s="293">
        <f>BG73-BF73</f>
        <v>23</v>
      </c>
      <c r="BH76" s="293">
        <f>BH73-BG73</f>
        <v>29</v>
      </c>
      <c r="BI76" s="293">
        <f>BI73-BH73</f>
        <v>16</v>
      </c>
      <c r="BJ76" s="289">
        <f>BJ73-BE73</f>
        <v>78</v>
      </c>
      <c r="BK76" s="293">
        <f>BK73-BI73</f>
        <v>26</v>
      </c>
      <c r="BL76" s="293">
        <f>BL73-BK73</f>
        <v>20</v>
      </c>
      <c r="BM76" s="293">
        <f>BM73-BL73</f>
        <v>28</v>
      </c>
      <c r="BN76" s="293">
        <f>BN73-BM73</f>
        <v>28</v>
      </c>
      <c r="BO76" s="289">
        <f>BO73-BJ73</f>
        <v>102</v>
      </c>
      <c r="BP76" s="293">
        <f>BP73-BN73</f>
        <v>26</v>
      </c>
      <c r="BQ76" s="293">
        <f>BQ73-BP73</f>
        <v>20</v>
      </c>
      <c r="BR76" s="293">
        <f>BR73-BQ73</f>
        <v>24</v>
      </c>
      <c r="BS76" s="293">
        <f>BS73-BR73</f>
        <v>22</v>
      </c>
      <c r="BT76" s="289">
        <f>BT73-BO73</f>
        <v>92</v>
      </c>
    </row>
    <row r="77" spans="1:202" ht="8.4499999999999993" customHeight="1">
      <c r="A77" s="62"/>
      <c r="B77" s="23"/>
      <c r="C77" s="64"/>
      <c r="D77" s="64"/>
      <c r="E77" s="64"/>
      <c r="F77" s="64"/>
      <c r="G77" s="23"/>
      <c r="H77" s="64"/>
      <c r="I77" s="64"/>
      <c r="J77" s="64"/>
      <c r="K77" s="63"/>
      <c r="L77" s="23"/>
      <c r="M77" s="64"/>
      <c r="N77" s="64"/>
      <c r="O77" s="64"/>
      <c r="P77" s="63"/>
      <c r="Q77" s="23"/>
      <c r="R77" s="64"/>
      <c r="S77" s="64"/>
      <c r="T77" s="64"/>
      <c r="U77" s="63"/>
      <c r="V77" s="23"/>
      <c r="W77" s="64"/>
      <c r="X77" s="64"/>
      <c r="Y77" s="64"/>
      <c r="Z77" s="63"/>
      <c r="AA77" s="23"/>
      <c r="AB77" s="64"/>
      <c r="AC77" s="64"/>
      <c r="AD77" s="64"/>
      <c r="AE77" s="63"/>
      <c r="AF77" s="23"/>
      <c r="AG77" s="64"/>
      <c r="AH77" s="64"/>
      <c r="AI77" s="64"/>
      <c r="AJ77" s="63"/>
      <c r="AK77" s="23"/>
      <c r="AL77" s="64"/>
      <c r="AM77" s="174"/>
      <c r="AN77" s="174"/>
      <c r="AO77" s="174"/>
      <c r="AP77" s="23"/>
      <c r="AQ77" s="176"/>
      <c r="AR77" s="176"/>
      <c r="AS77" s="176"/>
      <c r="AT77" s="176"/>
      <c r="AU77" s="177"/>
      <c r="AV77" s="176"/>
      <c r="AW77" s="176"/>
      <c r="AX77" s="176"/>
      <c r="AY77" s="176"/>
      <c r="AZ77" s="23"/>
      <c r="BA77" s="176"/>
      <c r="BB77" s="176"/>
      <c r="BC77" s="176"/>
      <c r="BD77" s="176"/>
      <c r="BE77" s="23"/>
      <c r="BF77" s="176"/>
      <c r="BG77" s="176"/>
      <c r="BH77" s="176"/>
      <c r="BI77" s="176"/>
      <c r="BJ77" s="23"/>
      <c r="BK77" s="176"/>
      <c r="BL77" s="176"/>
      <c r="BM77" s="176"/>
      <c r="BN77" s="176"/>
      <c r="BO77" s="23"/>
      <c r="BP77" s="176"/>
      <c r="BQ77" s="176"/>
      <c r="BR77" s="176"/>
      <c r="BS77" s="176"/>
      <c r="BT77" s="23"/>
    </row>
    <row r="78" spans="1:202">
      <c r="A78" s="60" t="s">
        <v>212</v>
      </c>
      <c r="B78" s="89" t="s">
        <v>35</v>
      </c>
      <c r="C78" s="70" t="s">
        <v>38</v>
      </c>
      <c r="D78" s="70" t="s">
        <v>38</v>
      </c>
      <c r="E78" s="70" t="s">
        <v>38</v>
      </c>
      <c r="F78" s="70" t="s">
        <v>38</v>
      </c>
      <c r="G78" s="89" t="s">
        <v>35</v>
      </c>
      <c r="H78" s="70" t="s">
        <v>38</v>
      </c>
      <c r="I78" s="70" t="s">
        <v>38</v>
      </c>
      <c r="J78" s="70" t="s">
        <v>38</v>
      </c>
      <c r="K78" s="70" t="s">
        <v>38</v>
      </c>
      <c r="L78" s="89" t="s">
        <v>35</v>
      </c>
      <c r="M78" s="70" t="s">
        <v>38</v>
      </c>
      <c r="N78" s="70" t="s">
        <v>38</v>
      </c>
      <c r="O78" s="70" t="s">
        <v>38</v>
      </c>
      <c r="P78" s="70" t="s">
        <v>38</v>
      </c>
      <c r="Q78" s="89" t="s">
        <v>35</v>
      </c>
      <c r="R78" s="70" t="s">
        <v>38</v>
      </c>
      <c r="S78" s="70" t="s">
        <v>38</v>
      </c>
      <c r="T78" s="70" t="s">
        <v>38</v>
      </c>
      <c r="U78" s="70" t="s">
        <v>38</v>
      </c>
      <c r="V78" s="89" t="s">
        <v>35</v>
      </c>
      <c r="W78" s="70" t="s">
        <v>38</v>
      </c>
      <c r="X78" s="70" t="s">
        <v>38</v>
      </c>
      <c r="Y78" s="70" t="s">
        <v>38</v>
      </c>
      <c r="Z78" s="70" t="s">
        <v>38</v>
      </c>
      <c r="AA78" s="89" t="s">
        <v>35</v>
      </c>
      <c r="AB78" s="70" t="s">
        <v>38</v>
      </c>
      <c r="AC78" s="70" t="s">
        <v>38</v>
      </c>
      <c r="AD78" s="70" t="s">
        <v>38</v>
      </c>
      <c r="AE78" s="70" t="s">
        <v>38</v>
      </c>
      <c r="AF78" s="89" t="s">
        <v>35</v>
      </c>
      <c r="AG78" s="70" t="s">
        <v>38</v>
      </c>
      <c r="AH78" s="70" t="s">
        <v>38</v>
      </c>
      <c r="AI78" s="70" t="s">
        <v>38</v>
      </c>
      <c r="AJ78" s="61">
        <v>836</v>
      </c>
      <c r="AK78" s="81">
        <v>836</v>
      </c>
      <c r="AL78" s="70" t="s">
        <v>38</v>
      </c>
      <c r="AM78" s="70" t="s">
        <v>38</v>
      </c>
      <c r="AN78" s="70" t="s">
        <v>38</v>
      </c>
      <c r="AO78" s="61">
        <v>925</v>
      </c>
      <c r="AP78" s="81">
        <v>925</v>
      </c>
      <c r="AQ78" s="70" t="s">
        <v>38</v>
      </c>
      <c r="AR78" s="70" t="s">
        <v>38</v>
      </c>
      <c r="AS78" s="70" t="s">
        <v>38</v>
      </c>
      <c r="AT78" s="61">
        <v>733</v>
      </c>
      <c r="AU78" s="81">
        <v>733</v>
      </c>
      <c r="AV78" s="61">
        <v>771</v>
      </c>
      <c r="AW78" s="61">
        <v>747</v>
      </c>
      <c r="AX78" s="61">
        <v>778</v>
      </c>
      <c r="AY78" s="61">
        <v>796</v>
      </c>
      <c r="AZ78" s="81">
        <v>796</v>
      </c>
      <c r="BA78" s="61">
        <v>786</v>
      </c>
      <c r="BB78" s="61">
        <v>801</v>
      </c>
      <c r="BC78" s="61">
        <v>368</v>
      </c>
      <c r="BD78" s="61">
        <f>BE78</f>
        <v>374</v>
      </c>
      <c r="BE78" s="81">
        <v>374</v>
      </c>
      <c r="BF78" s="61">
        <v>382</v>
      </c>
      <c r="BG78" s="61">
        <v>397</v>
      </c>
      <c r="BH78" s="61">
        <v>415</v>
      </c>
      <c r="BI78" s="61">
        <f>BJ78</f>
        <v>425</v>
      </c>
      <c r="BJ78" s="81">
        <v>425</v>
      </c>
      <c r="BK78" s="61">
        <f>BJ78+3</f>
        <v>428</v>
      </c>
      <c r="BL78" s="61">
        <v>417</v>
      </c>
      <c r="BM78" s="61">
        <v>420</v>
      </c>
      <c r="BN78" s="61">
        <f>BO78</f>
        <v>438</v>
      </c>
      <c r="BO78" s="81">
        <v>438</v>
      </c>
      <c r="BP78" s="61">
        <v>462</v>
      </c>
      <c r="BQ78" s="61">
        <v>471</v>
      </c>
      <c r="BR78" s="61">
        <v>473</v>
      </c>
      <c r="BS78" s="61">
        <f>BT78</f>
        <v>480</v>
      </c>
      <c r="BT78" s="81">
        <v>480</v>
      </c>
    </row>
    <row r="79" spans="1:202">
      <c r="A79" s="62" t="s">
        <v>7</v>
      </c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23"/>
      <c r="R79" s="64"/>
      <c r="S79" s="64"/>
      <c r="T79" s="64"/>
      <c r="U79" s="63"/>
      <c r="V79" s="23"/>
      <c r="W79" s="64"/>
      <c r="X79" s="64"/>
      <c r="Y79" s="64"/>
      <c r="Z79" s="63"/>
      <c r="AA79" s="23"/>
      <c r="AB79" s="64"/>
      <c r="AC79" s="64"/>
      <c r="AD79" s="64"/>
      <c r="AE79" s="63"/>
      <c r="AF79" s="23"/>
      <c r="AG79" s="64"/>
      <c r="AH79" s="64"/>
      <c r="AI79" s="64"/>
      <c r="AJ79" s="63"/>
      <c r="AK79" s="23"/>
      <c r="AL79" s="64"/>
      <c r="AM79" s="64"/>
      <c r="AN79" s="64"/>
      <c r="AO79" s="63"/>
      <c r="AP79" s="23"/>
      <c r="AQ79" s="63"/>
      <c r="AR79" s="63"/>
      <c r="AS79" s="63"/>
      <c r="AT79" s="63"/>
      <c r="AU79" s="23"/>
      <c r="AV79" s="63">
        <f>AV78/AT78-1</f>
        <v>5.184174624829474E-2</v>
      </c>
      <c r="AW79" s="63">
        <f>AW78/AV78-1</f>
        <v>-3.1128404669260701E-2</v>
      </c>
      <c r="AX79" s="63">
        <f>AX78/AW78-1</f>
        <v>4.1499330655957234E-2</v>
      </c>
      <c r="AY79" s="63">
        <f>AY78/AX78-1</f>
        <v>2.3136246786632286E-2</v>
      </c>
      <c r="AZ79" s="23"/>
      <c r="BA79" s="63">
        <f>BA78/AY78-1</f>
        <v>-1.2562814070351758E-2</v>
      </c>
      <c r="BB79" s="63">
        <f>BB78/BA78-1</f>
        <v>1.9083969465648831E-2</v>
      </c>
      <c r="BC79" s="64">
        <f>BC78/BB78-1</f>
        <v>-0.54057428214731584</v>
      </c>
      <c r="BD79" s="63">
        <f>BD78/BC78-1</f>
        <v>1.6304347826086918E-2</v>
      </c>
      <c r="BE79" s="23"/>
      <c r="BF79" s="63">
        <f>BF78/BD78-1</f>
        <v>2.1390374331550888E-2</v>
      </c>
      <c r="BG79" s="63">
        <f>BG78/BF78-1</f>
        <v>3.9267015706806241E-2</v>
      </c>
      <c r="BH79" s="63">
        <f>BH78/BG78-1</f>
        <v>4.534005037783384E-2</v>
      </c>
      <c r="BI79" s="63">
        <f>BI78/BH78-1</f>
        <v>2.4096385542168752E-2</v>
      </c>
      <c r="BJ79" s="23"/>
      <c r="BK79" s="63">
        <f>BK78/BI78-1</f>
        <v>7.058823529411784E-3</v>
      </c>
      <c r="BL79" s="63">
        <f>BL78/BK78-1</f>
        <v>-2.5700934579439227E-2</v>
      </c>
      <c r="BM79" s="63">
        <f>BM78/BL78-1</f>
        <v>7.194244604316502E-3</v>
      </c>
      <c r="BN79" s="63">
        <f>BN78/BM78-1</f>
        <v>4.2857142857142927E-2</v>
      </c>
      <c r="BO79" s="23"/>
      <c r="BP79" s="63">
        <f>BP78/BN78-1</f>
        <v>5.4794520547945202E-2</v>
      </c>
      <c r="BQ79" s="63">
        <f>BQ78/BP78-1</f>
        <v>1.9480519480519431E-2</v>
      </c>
      <c r="BR79" s="63">
        <f>BR78/BQ78-1</f>
        <v>4.2462845010615702E-3</v>
      </c>
      <c r="BS79" s="63">
        <f>BS78/BR78-1</f>
        <v>1.4799154334038001E-2</v>
      </c>
      <c r="BT79" s="23"/>
    </row>
    <row r="80" spans="1:202">
      <c r="A80" s="62" t="s">
        <v>8</v>
      </c>
      <c r="B80" s="23"/>
      <c r="C80" s="64"/>
      <c r="D80" s="64"/>
      <c r="E80" s="64"/>
      <c r="F80" s="64"/>
      <c r="G80" s="23"/>
      <c r="H80" s="64"/>
      <c r="I80" s="64"/>
      <c r="J80" s="64"/>
      <c r="K80" s="63"/>
      <c r="L80" s="23"/>
      <c r="M80" s="64"/>
      <c r="N80" s="64"/>
      <c r="O80" s="64"/>
      <c r="P80" s="63"/>
      <c r="Q80" s="27"/>
      <c r="R80" s="64"/>
      <c r="S80" s="64"/>
      <c r="T80" s="64"/>
      <c r="U80" s="63"/>
      <c r="V80" s="23"/>
      <c r="W80" s="64"/>
      <c r="X80" s="64"/>
      <c r="Y80" s="64"/>
      <c r="Z80" s="63"/>
      <c r="AA80" s="23"/>
      <c r="AB80" s="64"/>
      <c r="AC80" s="64"/>
      <c r="AD80" s="64"/>
      <c r="AE80" s="63"/>
      <c r="AF80" s="23"/>
      <c r="AG80" s="64"/>
      <c r="AH80" s="64"/>
      <c r="AI80" s="64"/>
      <c r="AJ80" s="63"/>
      <c r="AK80" s="23"/>
      <c r="AL80" s="64"/>
      <c r="AM80" s="64"/>
      <c r="AN80" s="64"/>
      <c r="AO80" s="63"/>
      <c r="AP80" s="23">
        <f>AP78/AK78-1</f>
        <v>0.10645933014354059</v>
      </c>
      <c r="AQ80" s="64"/>
      <c r="AR80" s="64"/>
      <c r="AS80" s="64"/>
      <c r="AT80" s="63">
        <f>AT78/AO78-1</f>
        <v>-0.20756756756756756</v>
      </c>
      <c r="AU80" s="23">
        <f>AU78/AP78-1</f>
        <v>-0.20756756756756756</v>
      </c>
      <c r="AV80" s="64"/>
      <c r="AW80" s="64"/>
      <c r="AX80" s="64"/>
      <c r="AY80" s="63">
        <f t="shared" ref="AY80:BT80" si="44">AY78/AT78-1</f>
        <v>8.5948158253751794E-2</v>
      </c>
      <c r="AZ80" s="23">
        <f t="shared" si="44"/>
        <v>8.5948158253751794E-2</v>
      </c>
      <c r="BA80" s="64">
        <f t="shared" si="44"/>
        <v>1.9455252918287869E-2</v>
      </c>
      <c r="BB80" s="64">
        <f t="shared" si="44"/>
        <v>7.2289156626506035E-2</v>
      </c>
      <c r="BC80" s="64">
        <f t="shared" si="44"/>
        <v>-0.52699228791773778</v>
      </c>
      <c r="BD80" s="63">
        <f t="shared" si="44"/>
        <v>-0.53015075376884424</v>
      </c>
      <c r="BE80" s="23">
        <f t="shared" si="44"/>
        <v>-0.53015075376884424</v>
      </c>
      <c r="BF80" s="64">
        <f t="shared" si="44"/>
        <v>-0.51399491094147587</v>
      </c>
      <c r="BG80" s="64">
        <f t="shared" si="44"/>
        <v>-0.50436953807740326</v>
      </c>
      <c r="BH80" s="64">
        <f t="shared" si="44"/>
        <v>0.12771739130434789</v>
      </c>
      <c r="BI80" s="63">
        <f t="shared" si="44"/>
        <v>0.13636363636363646</v>
      </c>
      <c r="BJ80" s="23">
        <f t="shared" si="44"/>
        <v>0.13636363636363646</v>
      </c>
      <c r="BK80" s="64">
        <f t="shared" si="44"/>
        <v>0.12041884816753923</v>
      </c>
      <c r="BL80" s="64">
        <f t="shared" si="44"/>
        <v>5.0377833753148638E-2</v>
      </c>
      <c r="BM80" s="64">
        <f t="shared" si="44"/>
        <v>1.2048192771084265E-2</v>
      </c>
      <c r="BN80" s="63">
        <f t="shared" si="44"/>
        <v>3.0588235294117583E-2</v>
      </c>
      <c r="BO80" s="23">
        <f t="shared" si="44"/>
        <v>3.0588235294117583E-2</v>
      </c>
      <c r="BP80" s="64">
        <f t="shared" si="44"/>
        <v>7.9439252336448662E-2</v>
      </c>
      <c r="BQ80" s="64">
        <f t="shared" si="44"/>
        <v>0.12949640287769792</v>
      </c>
      <c r="BR80" s="64">
        <f t="shared" si="44"/>
        <v>0.12619047619047619</v>
      </c>
      <c r="BS80" s="63">
        <f t="shared" si="44"/>
        <v>9.5890410958904049E-2</v>
      </c>
      <c r="BT80" s="23">
        <f t="shared" si="44"/>
        <v>9.5890410958904049E-2</v>
      </c>
    </row>
    <row r="81" spans="1:202">
      <c r="A81" s="62" t="s">
        <v>156</v>
      </c>
      <c r="B81" s="23"/>
      <c r="C81" s="64"/>
      <c r="D81" s="64"/>
      <c r="E81" s="64"/>
      <c r="F81" s="64"/>
      <c r="G81" s="23"/>
      <c r="H81" s="64"/>
      <c r="I81" s="64"/>
      <c r="J81" s="64"/>
      <c r="K81" s="63"/>
      <c r="L81" s="23"/>
      <c r="M81" s="64"/>
      <c r="N81" s="64"/>
      <c r="O81" s="64"/>
      <c r="P81" s="63"/>
      <c r="Q81" s="23"/>
      <c r="R81" s="64"/>
      <c r="S81" s="64"/>
      <c r="T81" s="64"/>
      <c r="U81" s="63"/>
      <c r="V81" s="23"/>
      <c r="W81" s="64"/>
      <c r="X81" s="64"/>
      <c r="Y81" s="64"/>
      <c r="Z81" s="63"/>
      <c r="AA81" s="23"/>
      <c r="AB81" s="64"/>
      <c r="AC81" s="64"/>
      <c r="AD81" s="64"/>
      <c r="AE81" s="63"/>
      <c r="AF81" s="23"/>
      <c r="AG81" s="64"/>
      <c r="AH81" s="64"/>
      <c r="AI81" s="64"/>
      <c r="AJ81" s="63"/>
      <c r="AK81" s="297"/>
      <c r="AL81" s="290"/>
      <c r="AM81" s="290"/>
      <c r="AN81" s="290"/>
      <c r="AO81" s="293"/>
      <c r="AP81" s="289">
        <f>AP78-AK78</f>
        <v>89</v>
      </c>
      <c r="AQ81" s="293"/>
      <c r="AR81" s="293"/>
      <c r="AS81" s="293"/>
      <c r="AT81" s="293"/>
      <c r="AU81" s="289">
        <f>AU78-AP78</f>
        <v>-192</v>
      </c>
      <c r="AV81" s="293">
        <f>AV78-AT78</f>
        <v>38</v>
      </c>
      <c r="AW81" s="293">
        <f>AW78-AV78</f>
        <v>-24</v>
      </c>
      <c r="AX81" s="293">
        <f>AX78-AW78</f>
        <v>31</v>
      </c>
      <c r="AY81" s="293">
        <f>AY78-AX78</f>
        <v>18</v>
      </c>
      <c r="AZ81" s="289">
        <f>AZ78-AU78</f>
        <v>63</v>
      </c>
      <c r="BA81" s="293">
        <f>BA78-AY78</f>
        <v>-10</v>
      </c>
      <c r="BB81" s="293">
        <f>BB78-BA78</f>
        <v>15</v>
      </c>
      <c r="BC81" s="293">
        <f>BC78-BB78</f>
        <v>-433</v>
      </c>
      <c r="BD81" s="293">
        <f>BD78-BC78</f>
        <v>6</v>
      </c>
      <c r="BE81" s="289">
        <f>BE78-AZ78</f>
        <v>-422</v>
      </c>
      <c r="BF81" s="293">
        <f>BF78-BD78</f>
        <v>8</v>
      </c>
      <c r="BG81" s="293">
        <f>BG78-BF78</f>
        <v>15</v>
      </c>
      <c r="BH81" s="293">
        <f>BH78-BG78</f>
        <v>18</v>
      </c>
      <c r="BI81" s="293">
        <f>BI78-BH78</f>
        <v>10</v>
      </c>
      <c r="BJ81" s="289">
        <f>BJ78-BE78</f>
        <v>51</v>
      </c>
      <c r="BK81" s="293">
        <f>BK78-BI78</f>
        <v>3</v>
      </c>
      <c r="BL81" s="293">
        <f>BL78-BK78</f>
        <v>-11</v>
      </c>
      <c r="BM81" s="293">
        <f>BM78-BL78</f>
        <v>3</v>
      </c>
      <c r="BN81" s="293">
        <f>BN78-BM78</f>
        <v>18</v>
      </c>
      <c r="BO81" s="289">
        <f>BO78-BJ78</f>
        <v>13</v>
      </c>
      <c r="BP81" s="293">
        <f>BP78-BN78</f>
        <v>24</v>
      </c>
      <c r="BQ81" s="293">
        <f>BQ78-BP78</f>
        <v>9</v>
      </c>
      <c r="BR81" s="293">
        <f>BR78-BQ78</f>
        <v>2</v>
      </c>
      <c r="BS81" s="293">
        <f>BS78-BR78</f>
        <v>7</v>
      </c>
      <c r="BT81" s="289">
        <f>BT78-BO78</f>
        <v>42</v>
      </c>
      <c r="BU81" s="294"/>
    </row>
    <row r="82" spans="1:202" ht="6" customHeight="1">
      <c r="A82" s="62"/>
      <c r="B82" s="23"/>
      <c r="C82" s="64"/>
      <c r="D82" s="64"/>
      <c r="E82" s="64"/>
      <c r="F82" s="64"/>
      <c r="G82" s="23"/>
      <c r="H82" s="64"/>
      <c r="I82" s="64"/>
      <c r="J82" s="64"/>
      <c r="K82" s="63"/>
      <c r="L82" s="23"/>
      <c r="M82" s="64"/>
      <c r="N82" s="64"/>
      <c r="O82" s="64"/>
      <c r="P82" s="63"/>
      <c r="Q82" s="23"/>
      <c r="R82" s="64"/>
      <c r="S82" s="64"/>
      <c r="T82" s="64"/>
      <c r="U82" s="63"/>
      <c r="V82" s="23"/>
      <c r="W82" s="64"/>
      <c r="X82" s="64"/>
      <c r="Y82" s="64"/>
      <c r="Z82" s="63"/>
      <c r="AA82" s="23"/>
      <c r="AB82" s="64"/>
      <c r="AC82" s="64"/>
      <c r="AD82" s="64"/>
      <c r="AE82" s="63"/>
      <c r="AF82" s="23"/>
      <c r="AG82" s="64"/>
      <c r="AH82" s="64"/>
      <c r="AI82" s="64"/>
      <c r="AJ82" s="63"/>
      <c r="AK82" s="23"/>
      <c r="AL82" s="64"/>
      <c r="AM82" s="64"/>
      <c r="AN82" s="64"/>
      <c r="AO82" s="176"/>
      <c r="AP82" s="177"/>
      <c r="AQ82" s="176"/>
      <c r="AR82" s="176"/>
      <c r="AS82" s="176"/>
      <c r="AT82" s="176"/>
      <c r="AU82" s="177"/>
      <c r="AV82" s="176"/>
      <c r="AW82" s="176"/>
      <c r="AX82" s="176"/>
      <c r="AY82" s="176"/>
      <c r="AZ82" s="177"/>
      <c r="BA82" s="176"/>
      <c r="BB82" s="176"/>
      <c r="BC82" s="176"/>
      <c r="BD82" s="176"/>
      <c r="BE82" s="177"/>
      <c r="BF82" s="176"/>
      <c r="BG82" s="176"/>
      <c r="BH82" s="176"/>
      <c r="BI82" s="176"/>
      <c r="BJ82" s="177"/>
      <c r="BK82" s="176"/>
      <c r="BL82" s="176"/>
      <c r="BM82" s="176"/>
      <c r="BN82" s="176"/>
      <c r="BO82" s="177"/>
      <c r="BP82" s="176"/>
      <c r="BQ82" s="176"/>
      <c r="BR82" s="176"/>
      <c r="BS82" s="176"/>
      <c r="BT82" s="177"/>
    </row>
    <row r="83" spans="1:202">
      <c r="A83" s="60" t="s">
        <v>54</v>
      </c>
      <c r="B83" s="89" t="s">
        <v>38</v>
      </c>
      <c r="C83" s="70" t="s">
        <v>38</v>
      </c>
      <c r="D83" s="70" t="s">
        <v>38</v>
      </c>
      <c r="E83" s="70" t="s">
        <v>38</v>
      </c>
      <c r="F83" s="70" t="s">
        <v>38</v>
      </c>
      <c r="G83" s="89" t="s">
        <v>38</v>
      </c>
      <c r="H83" s="70" t="s">
        <v>38</v>
      </c>
      <c r="I83" s="70" t="s">
        <v>38</v>
      </c>
      <c r="J83" s="70" t="s">
        <v>38</v>
      </c>
      <c r="K83" s="70" t="s">
        <v>38</v>
      </c>
      <c r="L83" s="89" t="s">
        <v>38</v>
      </c>
      <c r="M83" s="60">
        <v>110</v>
      </c>
      <c r="N83" s="60">
        <v>111</v>
      </c>
      <c r="O83" s="60">
        <v>113</v>
      </c>
      <c r="P83" s="61">
        <v>109</v>
      </c>
      <c r="Q83" s="27">
        <v>111</v>
      </c>
      <c r="R83" s="60">
        <v>110</v>
      </c>
      <c r="S83" s="60">
        <v>109</v>
      </c>
      <c r="T83" s="60">
        <v>107</v>
      </c>
      <c r="U83" s="61">
        <v>100</v>
      </c>
      <c r="V83" s="27">
        <v>107</v>
      </c>
      <c r="W83" s="60">
        <v>97</v>
      </c>
      <c r="X83" s="60">
        <v>99</v>
      </c>
      <c r="Y83" s="60">
        <v>95</v>
      </c>
      <c r="Z83" s="61">
        <v>89</v>
      </c>
      <c r="AA83" s="27">
        <v>95</v>
      </c>
      <c r="AB83" s="60">
        <v>86</v>
      </c>
      <c r="AC83" s="60">
        <v>85</v>
      </c>
      <c r="AD83" s="60">
        <v>88</v>
      </c>
      <c r="AE83" s="61">
        <v>86</v>
      </c>
      <c r="AF83" s="27">
        <v>86</v>
      </c>
      <c r="AG83" s="60">
        <v>80</v>
      </c>
      <c r="AH83" s="60">
        <v>79</v>
      </c>
      <c r="AI83" s="60">
        <v>78</v>
      </c>
      <c r="AJ83" s="61">
        <v>75</v>
      </c>
      <c r="AK83" s="27">
        <v>78</v>
      </c>
      <c r="AL83" s="60">
        <v>65</v>
      </c>
      <c r="AM83" s="60">
        <v>65</v>
      </c>
      <c r="AN83" s="60">
        <v>68</v>
      </c>
      <c r="AO83" s="61">
        <v>60</v>
      </c>
      <c r="AP83" s="27">
        <v>64</v>
      </c>
      <c r="AQ83" s="60">
        <v>57</v>
      </c>
      <c r="AR83" s="60">
        <v>68</v>
      </c>
      <c r="AS83" s="60">
        <v>68</v>
      </c>
      <c r="AT83" s="61">
        <v>62</v>
      </c>
      <c r="AU83" s="27">
        <v>63</v>
      </c>
      <c r="AV83" s="60">
        <v>60</v>
      </c>
      <c r="AW83" s="60">
        <v>61</v>
      </c>
      <c r="AX83" s="60">
        <v>63</v>
      </c>
      <c r="AY83" s="61">
        <v>58</v>
      </c>
      <c r="AZ83" s="27">
        <v>61</v>
      </c>
      <c r="BA83" s="60">
        <v>57</v>
      </c>
      <c r="BB83" s="60">
        <v>57</v>
      </c>
      <c r="BC83" s="60">
        <v>68</v>
      </c>
      <c r="BD83" s="61">
        <v>66</v>
      </c>
      <c r="BE83" s="27">
        <v>62</v>
      </c>
      <c r="BF83" s="60">
        <v>63</v>
      </c>
      <c r="BG83" s="60">
        <v>64</v>
      </c>
      <c r="BH83" s="60">
        <v>65</v>
      </c>
      <c r="BI83" s="61">
        <v>60</v>
      </c>
      <c r="BJ83" s="27">
        <v>63</v>
      </c>
      <c r="BK83" s="60">
        <v>58</v>
      </c>
      <c r="BL83" s="60">
        <v>56</v>
      </c>
      <c r="BM83" s="60">
        <v>56</v>
      </c>
      <c r="BN83" s="61">
        <v>55</v>
      </c>
      <c r="BO83" s="27">
        <v>56</v>
      </c>
      <c r="BP83" s="60">
        <v>53</v>
      </c>
      <c r="BQ83" s="60">
        <v>54</v>
      </c>
      <c r="BR83" s="60">
        <v>55</v>
      </c>
      <c r="BS83" s="61">
        <v>55</v>
      </c>
      <c r="BT83" s="27">
        <v>54</v>
      </c>
    </row>
    <row r="84" spans="1:202">
      <c r="A84" s="62" t="s">
        <v>7</v>
      </c>
      <c r="B84" s="23"/>
      <c r="C84" s="63"/>
      <c r="D84" s="63"/>
      <c r="E84" s="63"/>
      <c r="F84" s="63"/>
      <c r="G84" s="23"/>
      <c r="H84" s="63"/>
      <c r="I84" s="63"/>
      <c r="J84" s="63"/>
      <c r="K84" s="63"/>
      <c r="L84" s="26"/>
      <c r="M84" s="63"/>
      <c r="N84" s="63">
        <f>N83/M83-1</f>
        <v>9.0909090909090384E-3</v>
      </c>
      <c r="O84" s="63">
        <f>O83/N83-1</f>
        <v>1.8018018018018056E-2</v>
      </c>
      <c r="P84" s="63">
        <f>P83/O83-1</f>
        <v>-3.539823008849563E-2</v>
      </c>
      <c r="Q84" s="26"/>
      <c r="R84" s="63">
        <f>R83/P83-1</f>
        <v>9.1743119266054496E-3</v>
      </c>
      <c r="S84" s="63">
        <f>S83/R83-1</f>
        <v>-9.0909090909090384E-3</v>
      </c>
      <c r="T84" s="63">
        <f>T83/S83-1</f>
        <v>-1.834862385321101E-2</v>
      </c>
      <c r="U84" s="63">
        <f>U83/T83-1</f>
        <v>-6.5420560747663559E-2</v>
      </c>
      <c r="V84" s="26"/>
      <c r="W84" s="63">
        <f>W83/U83-1</f>
        <v>-3.0000000000000027E-2</v>
      </c>
      <c r="X84" s="63">
        <f>X83/W83-1</f>
        <v>2.0618556701030855E-2</v>
      </c>
      <c r="Y84" s="63">
        <f>Y83/X83-1</f>
        <v>-4.0404040404040442E-2</v>
      </c>
      <c r="Z84" s="63">
        <f>Z83/Y83-1</f>
        <v>-6.315789473684208E-2</v>
      </c>
      <c r="AA84" s="26"/>
      <c r="AB84" s="63">
        <f>AB83/Z83-1</f>
        <v>-3.3707865168539297E-2</v>
      </c>
      <c r="AC84" s="63">
        <f>AC83/AB83-1</f>
        <v>-1.1627906976744207E-2</v>
      </c>
      <c r="AD84" s="63">
        <f>AD83/AC83-1</f>
        <v>3.529411764705892E-2</v>
      </c>
      <c r="AE84" s="63">
        <f>AE83/AD83-1</f>
        <v>-2.2727272727272707E-2</v>
      </c>
      <c r="AF84" s="26"/>
      <c r="AG84" s="63">
        <f>AG83/AE83-1</f>
        <v>-6.9767441860465129E-2</v>
      </c>
      <c r="AH84" s="63">
        <f>AH83/AG83-1</f>
        <v>-1.2499999999999956E-2</v>
      </c>
      <c r="AI84" s="63">
        <f>AI83/AH83-1</f>
        <v>-1.2658227848101222E-2</v>
      </c>
      <c r="AJ84" s="63">
        <f>AJ83/AI83-1</f>
        <v>-3.8461538461538436E-2</v>
      </c>
      <c r="AK84" s="26"/>
      <c r="AL84" s="63">
        <f>AL83/AJ83-1</f>
        <v>-0.1333333333333333</v>
      </c>
      <c r="AM84" s="63">
        <f>AM83/AL83-1</f>
        <v>0</v>
      </c>
      <c r="AN84" s="63">
        <f>AN83/AM83-1</f>
        <v>4.6153846153846212E-2</v>
      </c>
      <c r="AO84" s="63">
        <f>AO83/AN83-1</f>
        <v>-0.11764705882352944</v>
      </c>
      <c r="AP84" s="26"/>
      <c r="AQ84" s="63">
        <f>AQ83/AO83-1</f>
        <v>-5.0000000000000044E-2</v>
      </c>
      <c r="AR84" s="63">
        <f>AR83/AQ83-1</f>
        <v>0.19298245614035081</v>
      </c>
      <c r="AS84" s="63">
        <f>AS83/AR83-1</f>
        <v>0</v>
      </c>
      <c r="AT84" s="63">
        <f>AT83/AS83-1</f>
        <v>-8.8235294117647078E-2</v>
      </c>
      <c r="AU84" s="26"/>
      <c r="AV84" s="63">
        <f>AV83/AT83-1</f>
        <v>-3.2258064516129004E-2</v>
      </c>
      <c r="AW84" s="63">
        <f>AW83/AV83-1</f>
        <v>1.6666666666666607E-2</v>
      </c>
      <c r="AX84" s="63">
        <f>AX83/AW83-1</f>
        <v>3.2786885245901676E-2</v>
      </c>
      <c r="AY84" s="63">
        <f>AY83/AX83-1</f>
        <v>-7.9365079365079416E-2</v>
      </c>
      <c r="AZ84" s="26"/>
      <c r="BA84" s="63">
        <f>BA83/AY83-1</f>
        <v>-1.7241379310344862E-2</v>
      </c>
      <c r="BB84" s="63">
        <f>BB83/BA83-1</f>
        <v>0</v>
      </c>
      <c r="BC84" s="63">
        <f>BC83/BB83-1</f>
        <v>0.19298245614035081</v>
      </c>
      <c r="BD84" s="63">
        <f>BD83/BC83-1</f>
        <v>-2.9411764705882359E-2</v>
      </c>
      <c r="BE84" s="26"/>
      <c r="BF84" s="63">
        <f>BF83/BD83-1</f>
        <v>-4.5454545454545414E-2</v>
      </c>
      <c r="BG84" s="63">
        <f>BG83/BF83-1</f>
        <v>1.5873015873015817E-2</v>
      </c>
      <c r="BH84" s="63">
        <f>BH83/BG83-1</f>
        <v>1.5625E-2</v>
      </c>
      <c r="BI84" s="63">
        <f>BI83/BH83-1</f>
        <v>-7.6923076923076872E-2</v>
      </c>
      <c r="BJ84" s="26"/>
      <c r="BK84" s="63">
        <f>BK83/BI83-1</f>
        <v>-3.3333333333333326E-2</v>
      </c>
      <c r="BL84" s="63">
        <f>BL83/BK83-1</f>
        <v>-3.4482758620689613E-2</v>
      </c>
      <c r="BM84" s="63">
        <f>BM83/BL83-1</f>
        <v>0</v>
      </c>
      <c r="BN84" s="63">
        <f>BN83/BM83-1</f>
        <v>-1.7857142857142905E-2</v>
      </c>
      <c r="BO84" s="26"/>
      <c r="BP84" s="63">
        <f>BP83/BN83-1</f>
        <v>-3.6363636363636376E-2</v>
      </c>
      <c r="BQ84" s="63">
        <f>BQ83/BP83-1</f>
        <v>1.8867924528301883E-2</v>
      </c>
      <c r="BR84" s="63">
        <f>BR83/BQ83-1</f>
        <v>1.8518518518518601E-2</v>
      </c>
      <c r="BS84" s="63">
        <f>BS83/BR83-1</f>
        <v>0</v>
      </c>
      <c r="BT84" s="26"/>
    </row>
    <row r="85" spans="1:202">
      <c r="A85" s="62" t="s">
        <v>8</v>
      </c>
      <c r="B85" s="23"/>
      <c r="C85" s="64"/>
      <c r="D85" s="64"/>
      <c r="E85" s="64"/>
      <c r="F85" s="64"/>
      <c r="G85" s="23"/>
      <c r="H85" s="64"/>
      <c r="I85" s="64"/>
      <c r="J85" s="64"/>
      <c r="K85" s="63"/>
      <c r="L85" s="23"/>
      <c r="M85" s="64"/>
      <c r="N85" s="64"/>
      <c r="O85" s="64"/>
      <c r="P85" s="63"/>
      <c r="Q85" s="23"/>
      <c r="R85" s="64">
        <f t="shared" ref="R85:Y85" si="45">R83/M83-1</f>
        <v>0</v>
      </c>
      <c r="S85" s="64">
        <f t="shared" si="45"/>
        <v>-1.8018018018018056E-2</v>
      </c>
      <c r="T85" s="64">
        <f t="shared" si="45"/>
        <v>-5.3097345132743334E-2</v>
      </c>
      <c r="U85" s="63">
        <f t="shared" si="45"/>
        <v>-8.256880733944949E-2</v>
      </c>
      <c r="V85" s="23">
        <f t="shared" si="45"/>
        <v>-3.6036036036036001E-2</v>
      </c>
      <c r="W85" s="64">
        <f t="shared" si="45"/>
        <v>-0.11818181818181817</v>
      </c>
      <c r="X85" s="64">
        <f t="shared" si="45"/>
        <v>-9.1743119266055051E-2</v>
      </c>
      <c r="Y85" s="64">
        <f t="shared" si="45"/>
        <v>-0.11214953271028039</v>
      </c>
      <c r="Z85" s="63">
        <f t="shared" ref="Z85:AI85" si="46">Z83/U83-1</f>
        <v>-0.10999999999999999</v>
      </c>
      <c r="AA85" s="23">
        <f t="shared" si="46"/>
        <v>-0.11214953271028039</v>
      </c>
      <c r="AB85" s="64">
        <f t="shared" si="46"/>
        <v>-0.11340206185567014</v>
      </c>
      <c r="AC85" s="64">
        <f t="shared" si="46"/>
        <v>-0.14141414141414144</v>
      </c>
      <c r="AD85" s="64">
        <f t="shared" si="46"/>
        <v>-7.3684210526315796E-2</v>
      </c>
      <c r="AE85" s="63">
        <f t="shared" si="46"/>
        <v>-3.3707865168539297E-2</v>
      </c>
      <c r="AF85" s="23">
        <f t="shared" si="46"/>
        <v>-9.4736842105263119E-2</v>
      </c>
      <c r="AG85" s="64">
        <f t="shared" si="46"/>
        <v>-6.9767441860465129E-2</v>
      </c>
      <c r="AH85" s="64">
        <f t="shared" si="46"/>
        <v>-7.0588235294117618E-2</v>
      </c>
      <c r="AI85" s="64">
        <f t="shared" si="46"/>
        <v>-0.11363636363636365</v>
      </c>
      <c r="AJ85" s="63">
        <f t="shared" ref="AJ85:AS85" si="47">AJ83/AE83-1</f>
        <v>-0.12790697674418605</v>
      </c>
      <c r="AK85" s="23">
        <f t="shared" si="47"/>
        <v>-9.3023255813953543E-2</v>
      </c>
      <c r="AL85" s="64">
        <f t="shared" si="47"/>
        <v>-0.1875</v>
      </c>
      <c r="AM85" s="64">
        <f t="shared" si="47"/>
        <v>-0.17721518987341767</v>
      </c>
      <c r="AN85" s="64">
        <f t="shared" si="47"/>
        <v>-0.12820512820512819</v>
      </c>
      <c r="AO85" s="63">
        <f t="shared" si="47"/>
        <v>-0.19999999999999996</v>
      </c>
      <c r="AP85" s="23">
        <f t="shared" si="47"/>
        <v>-0.17948717948717952</v>
      </c>
      <c r="AQ85" s="64">
        <f t="shared" si="47"/>
        <v>-0.12307692307692308</v>
      </c>
      <c r="AR85" s="64">
        <f t="shared" si="47"/>
        <v>4.6153846153846212E-2</v>
      </c>
      <c r="AS85" s="64">
        <f t="shared" si="47"/>
        <v>0</v>
      </c>
      <c r="AT85" s="63">
        <f t="shared" ref="AT85:BT85" si="48">AT83/AO83-1</f>
        <v>3.3333333333333437E-2</v>
      </c>
      <c r="AU85" s="23">
        <f t="shared" si="48"/>
        <v>-1.5625E-2</v>
      </c>
      <c r="AV85" s="64">
        <f t="shared" si="48"/>
        <v>5.2631578947368363E-2</v>
      </c>
      <c r="AW85" s="64">
        <f t="shared" si="48"/>
        <v>-0.1029411764705882</v>
      </c>
      <c r="AX85" s="64">
        <f t="shared" si="48"/>
        <v>-7.3529411764705843E-2</v>
      </c>
      <c r="AY85" s="63">
        <f t="shared" si="48"/>
        <v>-6.4516129032258118E-2</v>
      </c>
      <c r="AZ85" s="23">
        <f t="shared" si="48"/>
        <v>-3.1746031746031744E-2</v>
      </c>
      <c r="BA85" s="64">
        <f t="shared" si="48"/>
        <v>-5.0000000000000044E-2</v>
      </c>
      <c r="BB85" s="64">
        <f t="shared" si="48"/>
        <v>-6.557377049180324E-2</v>
      </c>
      <c r="BC85" s="64">
        <f t="shared" si="48"/>
        <v>7.9365079365079305E-2</v>
      </c>
      <c r="BD85" s="63">
        <f t="shared" si="48"/>
        <v>0.13793103448275867</v>
      </c>
      <c r="BE85" s="23">
        <f t="shared" si="48"/>
        <v>1.6393442622950838E-2</v>
      </c>
      <c r="BF85" s="64">
        <f t="shared" si="48"/>
        <v>0.10526315789473695</v>
      </c>
      <c r="BG85" s="64">
        <f t="shared" si="48"/>
        <v>0.12280701754385959</v>
      </c>
      <c r="BH85" s="64">
        <f t="shared" si="48"/>
        <v>-4.4117647058823484E-2</v>
      </c>
      <c r="BI85" s="63">
        <f t="shared" si="48"/>
        <v>-9.0909090909090939E-2</v>
      </c>
      <c r="BJ85" s="23">
        <f t="shared" si="48"/>
        <v>1.6129032258064502E-2</v>
      </c>
      <c r="BK85" s="64">
        <f t="shared" si="48"/>
        <v>-7.9365079365079416E-2</v>
      </c>
      <c r="BL85" s="64">
        <f t="shared" si="48"/>
        <v>-0.125</v>
      </c>
      <c r="BM85" s="64">
        <f t="shared" si="48"/>
        <v>-0.13846153846153841</v>
      </c>
      <c r="BN85" s="63">
        <f t="shared" si="48"/>
        <v>-8.333333333333337E-2</v>
      </c>
      <c r="BO85" s="23">
        <f t="shared" si="48"/>
        <v>-0.11111111111111116</v>
      </c>
      <c r="BP85" s="64">
        <f t="shared" si="48"/>
        <v>-8.6206896551724088E-2</v>
      </c>
      <c r="BQ85" s="64">
        <f t="shared" si="48"/>
        <v>-3.5714285714285698E-2</v>
      </c>
      <c r="BR85" s="64">
        <f t="shared" si="48"/>
        <v>-1.7857142857142905E-2</v>
      </c>
      <c r="BS85" s="63">
        <f t="shared" si="48"/>
        <v>0</v>
      </c>
      <c r="BT85" s="23">
        <f t="shared" si="48"/>
        <v>-3.5714285714285698E-2</v>
      </c>
    </row>
    <row r="86" spans="1:202" ht="14.25">
      <c r="A86" s="147"/>
      <c r="B86" s="23"/>
      <c r="C86" s="64"/>
      <c r="D86" s="64"/>
      <c r="E86" s="64"/>
      <c r="F86" s="64"/>
      <c r="G86" s="23"/>
      <c r="H86" s="64"/>
      <c r="I86" s="64"/>
      <c r="J86" s="64"/>
      <c r="K86" s="63"/>
      <c r="L86" s="23"/>
      <c r="M86" s="64"/>
      <c r="N86" s="64"/>
      <c r="O86" s="64"/>
      <c r="P86" s="63"/>
      <c r="Q86" s="23"/>
      <c r="R86" s="64"/>
      <c r="S86" s="64"/>
      <c r="T86" s="64"/>
      <c r="U86" s="63"/>
      <c r="V86" s="23"/>
      <c r="W86" s="64"/>
      <c r="X86" s="64"/>
      <c r="Y86" s="64"/>
      <c r="Z86" s="63"/>
      <c r="AA86" s="23"/>
      <c r="AB86" s="64"/>
      <c r="AC86" s="64"/>
      <c r="AD86" s="64"/>
      <c r="AE86" s="63"/>
      <c r="AF86" s="23"/>
      <c r="AG86" s="64"/>
      <c r="AH86" s="64"/>
      <c r="AI86" s="64"/>
      <c r="AJ86" s="63"/>
      <c r="AK86" s="23"/>
      <c r="AL86" s="64"/>
      <c r="AM86" s="64"/>
      <c r="AN86" s="64"/>
      <c r="AO86" s="63"/>
      <c r="AP86" s="23"/>
      <c r="AQ86" s="64"/>
      <c r="AR86" s="64"/>
      <c r="AS86" s="64"/>
      <c r="AT86" s="63"/>
      <c r="AU86" s="23"/>
      <c r="AV86" s="64"/>
      <c r="AW86" s="64"/>
      <c r="AX86" s="64"/>
      <c r="AY86" s="63"/>
      <c r="AZ86" s="23"/>
      <c r="BA86" s="64"/>
      <c r="BB86" s="64"/>
      <c r="BC86" s="64"/>
      <c r="BD86" s="63"/>
      <c r="BE86" s="23"/>
      <c r="BF86" s="64"/>
      <c r="BG86" s="64"/>
      <c r="BH86" s="64"/>
      <c r="BI86" s="63"/>
      <c r="BJ86" s="23"/>
      <c r="BK86" s="64"/>
      <c r="BL86" s="64"/>
      <c r="BM86" s="64"/>
      <c r="BN86" s="63"/>
      <c r="BO86" s="23"/>
      <c r="BP86" s="64"/>
      <c r="BQ86" s="64"/>
      <c r="BR86" s="64"/>
      <c r="BS86" s="63"/>
      <c r="BT86" s="23"/>
    </row>
    <row r="87" spans="1:202">
      <c r="A87" s="60" t="s">
        <v>123</v>
      </c>
      <c r="B87" s="86" t="s">
        <v>38</v>
      </c>
      <c r="C87" s="70" t="s">
        <v>38</v>
      </c>
      <c r="D87" s="70" t="s">
        <v>38</v>
      </c>
      <c r="E87" s="70" t="s">
        <v>38</v>
      </c>
      <c r="F87" s="70" t="s">
        <v>38</v>
      </c>
      <c r="G87" s="86" t="s">
        <v>38</v>
      </c>
      <c r="H87" s="80">
        <v>3.3000000000000002E-2</v>
      </c>
      <c r="I87" s="80">
        <v>3.3000000000000002E-2</v>
      </c>
      <c r="J87" s="80">
        <v>3.7999999999999999E-2</v>
      </c>
      <c r="K87" s="80">
        <v>3.4000000000000002E-2</v>
      </c>
      <c r="L87" s="48">
        <v>0.13800000000000001</v>
      </c>
      <c r="M87" s="80">
        <v>3.9E-2</v>
      </c>
      <c r="N87" s="80">
        <v>3.9E-2</v>
      </c>
      <c r="O87" s="80">
        <v>3.5000000000000003E-2</v>
      </c>
      <c r="P87" s="80">
        <v>3.9E-2</v>
      </c>
      <c r="Q87" s="48">
        <v>0.153</v>
      </c>
      <c r="R87" s="80">
        <v>0.05</v>
      </c>
      <c r="S87" s="80">
        <v>6.6000000000000003E-2</v>
      </c>
      <c r="T87" s="80">
        <v>6.0999999999999999E-2</v>
      </c>
      <c r="U87" s="80">
        <v>5.2999999999999999E-2</v>
      </c>
      <c r="V87" s="48">
        <v>0.22900000000000001</v>
      </c>
      <c r="W87" s="80">
        <v>3.9E-2</v>
      </c>
      <c r="X87" s="80">
        <v>0.06</v>
      </c>
      <c r="Y87" s="80">
        <v>6.7000000000000004E-2</v>
      </c>
      <c r="Z87" s="80">
        <v>5.8999999999999997E-2</v>
      </c>
      <c r="AA87" s="48">
        <v>0.224</v>
      </c>
      <c r="AB87" s="80">
        <v>7.1999999999999995E-2</v>
      </c>
      <c r="AC87" s="80">
        <v>6.9000000000000006E-2</v>
      </c>
      <c r="AD87" s="80">
        <v>6.2E-2</v>
      </c>
      <c r="AE87" s="80">
        <v>8.3000000000000004E-2</v>
      </c>
      <c r="AF87" s="48">
        <v>0.28599999999999998</v>
      </c>
      <c r="AG87" s="80">
        <v>7.5999999999999998E-2</v>
      </c>
      <c r="AH87" s="80">
        <v>6.5000000000000002E-2</v>
      </c>
      <c r="AI87" s="80">
        <v>7.2999999999999995E-2</v>
      </c>
      <c r="AJ87" s="80">
        <v>6.6000000000000003E-2</v>
      </c>
      <c r="AK87" s="48">
        <v>0.28000000000000003</v>
      </c>
      <c r="AL87" s="80">
        <v>6.5000000000000002E-2</v>
      </c>
      <c r="AM87" s="80">
        <v>6.0999999999999999E-2</v>
      </c>
      <c r="AN87" s="80">
        <v>6.4000000000000001E-2</v>
      </c>
      <c r="AO87" s="150">
        <v>6.7000000000000004E-2</v>
      </c>
      <c r="AP87" s="48">
        <v>0.25800000000000001</v>
      </c>
      <c r="AQ87" s="80">
        <v>5.1999999999999998E-2</v>
      </c>
      <c r="AR87" s="80">
        <v>6.2E-2</v>
      </c>
      <c r="AS87" s="80">
        <v>6.0999999999999999E-2</v>
      </c>
      <c r="AT87" s="80">
        <v>6.3E-2</v>
      </c>
      <c r="AU87" s="48">
        <v>0.23699999999999999</v>
      </c>
      <c r="AV87" s="80">
        <v>7.9000000000000001E-2</v>
      </c>
      <c r="AW87" s="80">
        <v>6.3E-2</v>
      </c>
      <c r="AX87" s="80">
        <v>7.0999999999999994E-2</v>
      </c>
      <c r="AY87" s="80">
        <v>6.9000000000000006E-2</v>
      </c>
      <c r="AZ87" s="48">
        <v>0.28199999999999997</v>
      </c>
      <c r="BA87" s="80">
        <v>0.08</v>
      </c>
      <c r="BB87" s="80">
        <v>7.2999999999999995E-2</v>
      </c>
      <c r="BC87" s="80">
        <v>9.0999999999999998E-2</v>
      </c>
      <c r="BD87" s="80">
        <v>0.09</v>
      </c>
      <c r="BE87" s="48">
        <v>0.33300000000000002</v>
      </c>
      <c r="BF87" s="80">
        <v>8.6999999999999994E-2</v>
      </c>
      <c r="BG87" s="80">
        <v>7.4999999999999997E-2</v>
      </c>
      <c r="BH87" s="80">
        <v>7.2999999999999995E-2</v>
      </c>
      <c r="BI87" s="80">
        <f>BJ87-BH87-BG87-BF87</f>
        <v>7.2999999999999982E-2</v>
      </c>
      <c r="BJ87" s="48">
        <v>0.308</v>
      </c>
      <c r="BK87" s="80">
        <v>7.1999999999999995E-2</v>
      </c>
      <c r="BL87" s="80">
        <v>6.8000000000000005E-2</v>
      </c>
      <c r="BM87" s="80">
        <v>7.0000000000000007E-2</v>
      </c>
      <c r="BN87" s="80">
        <f>BO87-BM87-BL87-BK87</f>
        <v>5.9000000000000011E-2</v>
      </c>
      <c r="BO87" s="48">
        <v>0.26900000000000002</v>
      </c>
      <c r="BP87" s="80">
        <v>5.8000000000000003E-2</v>
      </c>
      <c r="BQ87" s="80">
        <v>5.8000000000000003E-2</v>
      </c>
      <c r="BR87" s="80">
        <v>5.5E-2</v>
      </c>
      <c r="BS87" s="80">
        <f>BT87-BR87-BQ87-BP87</f>
        <v>5.8000000000000017E-2</v>
      </c>
      <c r="BT87" s="37">
        <v>0.22900000000000001</v>
      </c>
    </row>
    <row r="88" spans="1:202">
      <c r="A88" s="60"/>
      <c r="B88" s="86"/>
      <c r="C88" s="70"/>
      <c r="D88" s="70"/>
      <c r="E88" s="70"/>
      <c r="F88" s="70"/>
      <c r="G88" s="86"/>
      <c r="H88" s="80"/>
      <c r="I88" s="80"/>
      <c r="J88" s="80"/>
      <c r="K88" s="80"/>
      <c r="L88" s="48"/>
      <c r="M88" s="80"/>
      <c r="N88" s="80"/>
      <c r="O88" s="80"/>
      <c r="P88" s="80"/>
      <c r="Q88" s="48"/>
      <c r="R88" s="80"/>
      <c r="S88" s="80"/>
      <c r="T88" s="80"/>
      <c r="U88" s="80"/>
      <c r="V88" s="48"/>
      <c r="W88" s="80"/>
      <c r="X88" s="80"/>
      <c r="Y88" s="80"/>
      <c r="Z88" s="80"/>
      <c r="AA88" s="48"/>
      <c r="AB88" s="80"/>
      <c r="AC88" s="80"/>
      <c r="AD88" s="80"/>
      <c r="AE88" s="80"/>
      <c r="AF88" s="48"/>
      <c r="AG88" s="80"/>
      <c r="AH88" s="80"/>
      <c r="AI88" s="80"/>
      <c r="AJ88" s="80"/>
      <c r="AK88" s="48"/>
      <c r="AL88" s="80"/>
      <c r="AM88" s="80"/>
      <c r="AN88" s="80"/>
      <c r="AO88" s="80"/>
      <c r="AP88" s="48"/>
      <c r="AQ88" s="80"/>
      <c r="AR88" s="80"/>
      <c r="AS88" s="80"/>
      <c r="AT88" s="80"/>
      <c r="AU88" s="48"/>
      <c r="AV88" s="80"/>
      <c r="AW88" s="80"/>
      <c r="AX88" s="80"/>
      <c r="AY88" s="80"/>
      <c r="AZ88" s="48"/>
      <c r="BA88" s="80"/>
      <c r="BB88" s="80"/>
      <c r="BC88" s="80"/>
      <c r="BD88" s="80"/>
      <c r="BE88" s="48"/>
      <c r="BF88" s="80"/>
      <c r="BG88" s="80"/>
      <c r="BH88" s="80"/>
      <c r="BI88" s="80"/>
      <c r="BJ88" s="48"/>
      <c r="BK88" s="80"/>
      <c r="BL88" s="80"/>
      <c r="BM88" s="80"/>
      <c r="BN88" s="80"/>
      <c r="BO88" s="48"/>
      <c r="BP88" s="80"/>
      <c r="BQ88" s="80"/>
      <c r="BR88" s="80"/>
      <c r="BS88" s="80"/>
      <c r="BT88" s="48"/>
    </row>
    <row r="89" spans="1:202">
      <c r="A89" s="34" t="s">
        <v>17</v>
      </c>
      <c r="B89" s="126"/>
      <c r="C89" s="70"/>
      <c r="D89" s="70"/>
      <c r="E89" s="70"/>
      <c r="F89" s="70"/>
      <c r="G89" s="86" t="s">
        <v>38</v>
      </c>
      <c r="H89" s="80"/>
      <c r="I89" s="80"/>
      <c r="J89" s="80"/>
      <c r="K89" s="80"/>
      <c r="L89" s="86" t="s">
        <v>38</v>
      </c>
      <c r="M89" s="80"/>
      <c r="N89" s="80"/>
      <c r="O89" s="80"/>
      <c r="P89" s="80"/>
      <c r="Q89" s="86" t="s">
        <v>38</v>
      </c>
      <c r="R89" s="106" t="s">
        <v>35</v>
      </c>
      <c r="S89" s="106" t="s">
        <v>35</v>
      </c>
      <c r="T89" s="106" t="s">
        <v>35</v>
      </c>
      <c r="U89" s="106" t="s">
        <v>35</v>
      </c>
      <c r="V89" s="86" t="s">
        <v>38</v>
      </c>
      <c r="W89" s="106" t="s">
        <v>35</v>
      </c>
      <c r="X89" s="106" t="s">
        <v>35</v>
      </c>
      <c r="Y89" s="106" t="s">
        <v>35</v>
      </c>
      <c r="Z89" s="106" t="s">
        <v>35</v>
      </c>
      <c r="AA89" s="81">
        <v>4072</v>
      </c>
      <c r="AB89" s="106" t="s">
        <v>35</v>
      </c>
      <c r="AC89" s="106" t="s">
        <v>35</v>
      </c>
      <c r="AD89" s="106" t="s">
        <v>35</v>
      </c>
      <c r="AE89" s="106" t="s">
        <v>35</v>
      </c>
      <c r="AF89" s="81">
        <v>3288</v>
      </c>
      <c r="AG89" s="106" t="s">
        <v>35</v>
      </c>
      <c r="AH89" s="106" t="s">
        <v>35</v>
      </c>
      <c r="AI89" s="106" t="s">
        <v>35</v>
      </c>
      <c r="AJ89" s="61">
        <v>3001</v>
      </c>
      <c r="AK89" s="81">
        <v>3001</v>
      </c>
      <c r="AL89" s="106" t="s">
        <v>35</v>
      </c>
      <c r="AM89" s="106" t="s">
        <v>35</v>
      </c>
      <c r="AN89" s="106" t="s">
        <v>35</v>
      </c>
      <c r="AO89" s="61">
        <v>2679</v>
      </c>
      <c r="AP89" s="81">
        <v>2679</v>
      </c>
      <c r="AQ89" s="106" t="s">
        <v>35</v>
      </c>
      <c r="AR89" s="106" t="s">
        <v>35</v>
      </c>
      <c r="AS89" s="106" t="s">
        <v>35</v>
      </c>
      <c r="AT89" s="61">
        <v>2594</v>
      </c>
      <c r="AU89" s="81">
        <v>2594</v>
      </c>
      <c r="AV89" s="106" t="s">
        <v>35</v>
      </c>
      <c r="AW89" s="106" t="s">
        <v>35</v>
      </c>
      <c r="AX89" s="106" t="s">
        <v>35</v>
      </c>
      <c r="AY89" s="61">
        <v>2551</v>
      </c>
      <c r="AZ89" s="81">
        <v>2551</v>
      </c>
      <c r="BA89" s="106" t="s">
        <v>35</v>
      </c>
      <c r="BB89" s="106" t="s">
        <v>35</v>
      </c>
      <c r="BC89" s="106" t="s">
        <v>35</v>
      </c>
      <c r="BD89" s="61">
        <f>BE89</f>
        <v>2352</v>
      </c>
      <c r="BE89" s="81">
        <v>2352</v>
      </c>
      <c r="BF89" s="106" t="s">
        <v>35</v>
      </c>
      <c r="BG89" s="106" t="s">
        <v>35</v>
      </c>
      <c r="BH89" s="106" t="s">
        <v>35</v>
      </c>
      <c r="BI89" s="61">
        <f>BJ89</f>
        <v>2202</v>
      </c>
      <c r="BJ89" s="81">
        <v>2202</v>
      </c>
      <c r="BK89" s="106" t="s">
        <v>35</v>
      </c>
      <c r="BL89" s="106" t="s">
        <v>35</v>
      </c>
      <c r="BM89" s="106" t="s">
        <v>35</v>
      </c>
      <c r="BN89" s="61">
        <v>1900</v>
      </c>
      <c r="BO89" s="81">
        <v>1900</v>
      </c>
      <c r="BP89" s="106" t="s">
        <v>35</v>
      </c>
      <c r="BQ89" s="106" t="s">
        <v>35</v>
      </c>
      <c r="BR89" s="106" t="s">
        <v>35</v>
      </c>
      <c r="BS89" s="61">
        <f>BT89</f>
        <v>1768</v>
      </c>
      <c r="BT89" s="81">
        <v>1768</v>
      </c>
      <c r="BU89" s="307"/>
    </row>
    <row r="90" spans="1:202">
      <c r="A90" s="62" t="s">
        <v>8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64"/>
      <c r="X90" s="64"/>
      <c r="Y90" s="64"/>
      <c r="Z90" s="63"/>
      <c r="AA90" s="23"/>
      <c r="AB90" s="64"/>
      <c r="AC90" s="64"/>
      <c r="AD90" s="64"/>
      <c r="AE90" s="63"/>
      <c r="AF90" s="23">
        <f>AF89/AA89-1</f>
        <v>-0.19253438113948917</v>
      </c>
      <c r="AG90" s="64"/>
      <c r="AH90" s="64"/>
      <c r="AI90" s="64"/>
      <c r="AJ90" s="63"/>
      <c r="AK90" s="23">
        <f>AK89/AF89-1</f>
        <v>-8.7287104622871037E-2</v>
      </c>
      <c r="AL90" s="64"/>
      <c r="AM90" s="64"/>
      <c r="AN90" s="64"/>
      <c r="AO90" s="63"/>
      <c r="AP90" s="23">
        <f>AP89/AK89-1</f>
        <v>-0.10729756747750752</v>
      </c>
      <c r="AQ90" s="64"/>
      <c r="AR90" s="64"/>
      <c r="AS90" s="64"/>
      <c r="AT90" s="63"/>
      <c r="AU90" s="23">
        <f>AU89/AP89-1</f>
        <v>-3.1728256812243338E-2</v>
      </c>
      <c r="AV90" s="64"/>
      <c r="AW90" s="64"/>
      <c r="AX90" s="64"/>
      <c r="AY90" s="63"/>
      <c r="AZ90" s="23">
        <f>AZ89/AU89-1</f>
        <v>-1.6576715497301442E-2</v>
      </c>
      <c r="BA90" s="64"/>
      <c r="BB90" s="64"/>
      <c r="BC90" s="64"/>
      <c r="BD90" s="63"/>
      <c r="BE90" s="23">
        <f>BE89/AZ89-1</f>
        <v>-7.800862406899256E-2</v>
      </c>
      <c r="BF90" s="64"/>
      <c r="BG90" s="64"/>
      <c r="BH90" s="64"/>
      <c r="BI90" s="63"/>
      <c r="BJ90" s="23">
        <f>BJ89/BE89-1</f>
        <v>-6.3775510204081676E-2</v>
      </c>
      <c r="BK90" s="64"/>
      <c r="BL90" s="64"/>
      <c r="BM90" s="64"/>
      <c r="BN90" s="63"/>
      <c r="BO90" s="23">
        <f>BO89/BJ89-1</f>
        <v>-0.13714804722979113</v>
      </c>
      <c r="BP90" s="64"/>
      <c r="BQ90" s="64"/>
      <c r="BR90" s="64"/>
      <c r="BS90" s="63"/>
      <c r="BT90" s="23">
        <f>BT89/BO89-1</f>
        <v>-6.9473684210526354E-2</v>
      </c>
    </row>
    <row r="91" spans="1:202" s="2" customFormat="1" ht="4.5" customHeight="1">
      <c r="A91" s="80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64"/>
      <c r="AH91" s="64"/>
      <c r="AI91" s="64"/>
      <c r="AJ91" s="64"/>
      <c r="AK91" s="48"/>
      <c r="AL91" s="80"/>
      <c r="AM91" s="80"/>
      <c r="AN91" s="80"/>
      <c r="AO91" s="64"/>
      <c r="AP91" s="48"/>
      <c r="AQ91" s="80"/>
      <c r="AR91" s="80"/>
      <c r="AS91" s="80"/>
      <c r="AT91" s="64"/>
      <c r="AU91" s="48"/>
      <c r="AV91" s="80"/>
      <c r="AW91" s="80"/>
      <c r="AX91" s="80"/>
      <c r="AY91" s="64"/>
      <c r="AZ91" s="48"/>
      <c r="BA91" s="80"/>
      <c r="BB91" s="80"/>
      <c r="BC91" s="80"/>
      <c r="BD91" s="64"/>
      <c r="BE91" s="48"/>
      <c r="BF91" s="80"/>
      <c r="BG91" s="80"/>
      <c r="BH91" s="80"/>
      <c r="BI91" s="64"/>
      <c r="BJ91" s="48"/>
      <c r="BK91" s="80"/>
      <c r="BL91" s="80"/>
      <c r="BM91" s="80"/>
      <c r="BN91" s="64"/>
      <c r="BO91" s="48"/>
      <c r="BP91" s="80"/>
      <c r="BQ91" s="80"/>
      <c r="BR91" s="80"/>
      <c r="BS91" s="64"/>
      <c r="BT91" s="48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</row>
    <row r="92" spans="1:202" s="2" customFormat="1" ht="15.75" customHeight="1">
      <c r="A92" s="60" t="s">
        <v>403</v>
      </c>
      <c r="B92" s="48">
        <v>0.29199999999999998</v>
      </c>
      <c r="C92" s="48"/>
      <c r="D92" s="48"/>
      <c r="E92" s="48"/>
      <c r="F92" s="48"/>
      <c r="G92" s="48">
        <v>0.28599999999999998</v>
      </c>
      <c r="H92" s="48"/>
      <c r="I92" s="48"/>
      <c r="J92" s="48"/>
      <c r="K92" s="48"/>
      <c r="L92" s="48">
        <v>0.28999999999999998</v>
      </c>
      <c r="M92" s="48"/>
      <c r="N92" s="48"/>
      <c r="O92" s="48"/>
      <c r="P92" s="48"/>
      <c r="Q92" s="48">
        <v>0.28899999999999998</v>
      </c>
      <c r="R92" s="48"/>
      <c r="S92" s="48"/>
      <c r="T92" s="48"/>
      <c r="U92" s="48"/>
      <c r="V92" s="48">
        <v>0.28999999999999998</v>
      </c>
      <c r="W92" s="48"/>
      <c r="X92" s="48"/>
      <c r="Y92" s="48"/>
      <c r="Z92" s="48"/>
      <c r="AA92" s="48">
        <v>0.28199999999999997</v>
      </c>
      <c r="AB92" s="48"/>
      <c r="AC92" s="48"/>
      <c r="AD92" s="48"/>
      <c r="AE92" s="48"/>
      <c r="AF92" s="48">
        <v>0.26300000000000001</v>
      </c>
      <c r="AG92" s="106" t="s">
        <v>35</v>
      </c>
      <c r="AH92" s="106" t="s">
        <v>35</v>
      </c>
      <c r="AI92" s="106" t="s">
        <v>35</v>
      </c>
      <c r="AJ92" s="106" t="s">
        <v>35</v>
      </c>
      <c r="AK92" s="48">
        <v>0.255</v>
      </c>
      <c r="AL92" s="106" t="s">
        <v>35</v>
      </c>
      <c r="AM92" s="106" t="s">
        <v>35</v>
      </c>
      <c r="AN92" s="106" t="s">
        <v>35</v>
      </c>
      <c r="AO92" s="106" t="s">
        <v>35</v>
      </c>
      <c r="AP92" s="48">
        <v>0.252</v>
      </c>
      <c r="AQ92" s="106" t="s">
        <v>35</v>
      </c>
      <c r="AR92" s="106" t="s">
        <v>35</v>
      </c>
      <c r="AS92" s="172">
        <v>0.22700000000000001</v>
      </c>
      <c r="AT92" s="172">
        <v>0.23100000000000001</v>
      </c>
      <c r="AU92" s="37">
        <v>0.23100000000000001</v>
      </c>
      <c r="AV92" s="106" t="s">
        <v>35</v>
      </c>
      <c r="AW92" s="106" t="s">
        <v>35</v>
      </c>
      <c r="AX92" s="80">
        <v>0.23300000000000001</v>
      </c>
      <c r="AY92" s="80">
        <v>0.23599999999999999</v>
      </c>
      <c r="AZ92" s="37">
        <v>0.23599999999999999</v>
      </c>
      <c r="BA92" s="106" t="s">
        <v>35</v>
      </c>
      <c r="BB92" s="106" t="s">
        <v>35</v>
      </c>
      <c r="BC92" s="80">
        <v>0.21</v>
      </c>
      <c r="BD92" s="80">
        <v>0.20699999999999999</v>
      </c>
      <c r="BE92" s="48">
        <v>0.20699999999999999</v>
      </c>
      <c r="BF92" s="106" t="s">
        <v>35</v>
      </c>
      <c r="BG92" s="106" t="s">
        <v>35</v>
      </c>
      <c r="BH92" s="106" t="s">
        <v>35</v>
      </c>
      <c r="BI92" s="106" t="s">
        <v>35</v>
      </c>
      <c r="BJ92" s="48">
        <v>0.21199999999999999</v>
      </c>
      <c r="BK92" s="106" t="s">
        <v>35</v>
      </c>
      <c r="BL92" s="106" t="s">
        <v>35</v>
      </c>
      <c r="BM92" s="80">
        <v>0.214</v>
      </c>
      <c r="BN92" s="80">
        <f>BO92</f>
        <v>0.223</v>
      </c>
      <c r="BO92" s="48">
        <v>0.223</v>
      </c>
      <c r="BP92" s="106" t="s">
        <v>35</v>
      </c>
      <c r="BQ92" s="106" t="s">
        <v>35</v>
      </c>
      <c r="BR92" s="80">
        <v>0.22600000000000001</v>
      </c>
      <c r="BS92" s="106" t="s">
        <v>35</v>
      </c>
      <c r="BT92" s="153" t="s">
        <v>35</v>
      </c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</row>
    <row r="93" spans="1:202" s="2" customFormat="1" ht="15.75" customHeight="1">
      <c r="A93" s="60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106"/>
      <c r="AH93" s="106"/>
      <c r="AI93" s="106"/>
      <c r="AJ93" s="106"/>
      <c r="AK93" s="48"/>
      <c r="AL93" s="106"/>
      <c r="AM93" s="106"/>
      <c r="AN93" s="106"/>
      <c r="AO93" s="106"/>
      <c r="AP93" s="48"/>
      <c r="AQ93" s="106"/>
      <c r="AR93" s="106"/>
      <c r="AS93" s="172"/>
      <c r="AT93" s="172"/>
      <c r="AU93" s="37"/>
      <c r="AV93" s="106"/>
      <c r="AW93" s="106"/>
      <c r="AX93" s="80"/>
      <c r="AY93" s="80"/>
      <c r="AZ93" s="37"/>
      <c r="BA93" s="106"/>
      <c r="BB93" s="106"/>
      <c r="BC93" s="80"/>
      <c r="BD93" s="80"/>
      <c r="BE93" s="48"/>
      <c r="BF93" s="106"/>
      <c r="BG93" s="106"/>
      <c r="BH93" s="106"/>
      <c r="BI93" s="106"/>
      <c r="BJ93" s="48"/>
      <c r="BK93" s="106"/>
      <c r="BL93" s="106"/>
      <c r="BM93" s="80"/>
      <c r="BN93" s="106"/>
      <c r="BO93" s="48"/>
      <c r="BP93" s="106"/>
      <c r="BQ93" s="106"/>
      <c r="BR93" s="80"/>
      <c r="BS93" s="106"/>
      <c r="BT93" s="153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</row>
    <row r="94" spans="1:202" s="2" customFormat="1" ht="3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</row>
    <row r="95" spans="1:202" s="60" customFormat="1" ht="12.75" customHeight="1"/>
    <row r="96" spans="1:202" s="2" customFormat="1" ht="3.75" customHeight="1">
      <c r="A96" s="355"/>
      <c r="B96" s="355"/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  <c r="AA96" s="355"/>
      <c r="AB96" s="355"/>
      <c r="AC96" s="355"/>
      <c r="AD96" s="355"/>
      <c r="AE96" s="355"/>
      <c r="AF96" s="355"/>
      <c r="AG96" s="355"/>
      <c r="AH96" s="355"/>
      <c r="AI96" s="355"/>
      <c r="AJ96" s="355"/>
      <c r="AK96" s="355"/>
      <c r="AL96" s="355"/>
      <c r="AM96" s="355"/>
      <c r="AN96" s="355"/>
      <c r="AO96" s="355"/>
      <c r="AP96" s="355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5"/>
      <c r="BB96" s="355"/>
      <c r="BC96" s="355"/>
      <c r="BD96" s="355"/>
      <c r="BE96" s="355"/>
      <c r="BF96" s="355"/>
      <c r="BG96" s="355"/>
      <c r="BH96" s="355"/>
      <c r="BI96" s="355"/>
      <c r="BJ96" s="355"/>
      <c r="BK96" s="355"/>
      <c r="BL96" s="355"/>
      <c r="BM96" s="355"/>
      <c r="BN96" s="355"/>
      <c r="BO96" s="355"/>
      <c r="BP96" s="355"/>
      <c r="BQ96" s="355"/>
      <c r="BR96" s="355"/>
      <c r="BS96" s="355"/>
      <c r="BT96" s="355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</row>
    <row r="97" spans="1:202" ht="20.25">
      <c r="A97" s="33" t="s">
        <v>15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</row>
    <row r="98" spans="1:20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</row>
    <row r="99" spans="1:202">
      <c r="A99" s="328" t="s">
        <v>25</v>
      </c>
      <c r="B99" s="322"/>
      <c r="C99" s="316"/>
      <c r="D99" s="316"/>
      <c r="E99" s="316"/>
      <c r="F99" s="316"/>
      <c r="G99" s="322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  <c r="BN99" s="316"/>
      <c r="BO99" s="316"/>
      <c r="BP99" s="316"/>
      <c r="BQ99" s="316"/>
      <c r="BR99" s="316"/>
      <c r="BS99" s="316"/>
      <c r="BT99" s="316"/>
    </row>
    <row r="100" spans="1:202" ht="3.6" customHeight="1">
      <c r="A100" s="60"/>
      <c r="B100" s="28"/>
      <c r="C100" s="60"/>
      <c r="D100" s="60"/>
      <c r="E100" s="60"/>
      <c r="F100" s="60"/>
      <c r="G100" s="28"/>
      <c r="H100" s="60"/>
      <c r="I100" s="60"/>
      <c r="J100" s="60"/>
      <c r="K100" s="60"/>
      <c r="L100" s="20"/>
      <c r="M100" s="60"/>
      <c r="N100" s="60"/>
      <c r="O100" s="60"/>
      <c r="P100" s="60"/>
      <c r="Q100" s="20"/>
      <c r="R100" s="60"/>
      <c r="S100" s="60"/>
      <c r="T100" s="60"/>
      <c r="U100" s="60"/>
      <c r="V100" s="20"/>
      <c r="W100" s="60"/>
      <c r="X100" s="60"/>
      <c r="Y100" s="60"/>
      <c r="Z100" s="60"/>
      <c r="AA100" s="20"/>
      <c r="AB100" s="60"/>
      <c r="AC100" s="60"/>
      <c r="AD100" s="60"/>
      <c r="AE100" s="60"/>
      <c r="AF100" s="20"/>
      <c r="AG100" s="60"/>
      <c r="AH100" s="60"/>
      <c r="AI100" s="60"/>
      <c r="AJ100" s="60"/>
      <c r="AK100" s="20"/>
      <c r="AL100" s="60"/>
      <c r="AM100" s="60"/>
      <c r="AN100" s="60"/>
      <c r="AO100" s="60"/>
      <c r="AP100" s="20"/>
      <c r="AQ100" s="60"/>
      <c r="AR100" s="60"/>
      <c r="AS100" s="60"/>
      <c r="AT100" s="60"/>
      <c r="AU100" s="20"/>
      <c r="AV100" s="60"/>
      <c r="AW100" s="60"/>
      <c r="AX100" s="60"/>
      <c r="AY100" s="60"/>
      <c r="AZ100" s="20"/>
      <c r="BA100" s="60"/>
      <c r="BB100" s="60"/>
      <c r="BC100" s="60"/>
      <c r="BD100" s="60"/>
      <c r="BE100" s="20"/>
      <c r="BF100" s="60"/>
      <c r="BG100" s="60"/>
      <c r="BH100" s="60"/>
      <c r="BI100" s="60"/>
      <c r="BJ100" s="20"/>
      <c r="BK100" s="60"/>
      <c r="BL100" s="60"/>
      <c r="BM100" s="60"/>
      <c r="BN100" s="60"/>
      <c r="BO100" s="20"/>
      <c r="BP100" s="60"/>
      <c r="BQ100" s="60"/>
      <c r="BR100" s="60"/>
      <c r="BS100" s="60"/>
      <c r="BT100" s="20"/>
    </row>
    <row r="101" spans="1:202">
      <c r="A101" s="60" t="s">
        <v>104</v>
      </c>
      <c r="B101" s="126">
        <v>2621</v>
      </c>
      <c r="C101" s="70" t="s">
        <v>38</v>
      </c>
      <c r="D101" s="70" t="s">
        <v>38</v>
      </c>
      <c r="E101" s="70" t="s">
        <v>38</v>
      </c>
      <c r="F101" s="70" t="s">
        <v>38</v>
      </c>
      <c r="G101" s="126">
        <v>2325</v>
      </c>
      <c r="H101" s="70" t="s">
        <v>38</v>
      </c>
      <c r="I101" s="70" t="s">
        <v>38</v>
      </c>
      <c r="J101" s="70" t="s">
        <v>38</v>
      </c>
      <c r="K101" s="70" t="s">
        <v>38</v>
      </c>
      <c r="L101" s="126">
        <v>2445</v>
      </c>
      <c r="M101" s="70" t="s">
        <v>38</v>
      </c>
      <c r="N101" s="70" t="s">
        <v>38</v>
      </c>
      <c r="O101" s="70" t="s">
        <v>38</v>
      </c>
      <c r="P101" s="70" t="s">
        <v>38</v>
      </c>
      <c r="Q101" s="126">
        <v>2112</v>
      </c>
      <c r="R101" s="106" t="s">
        <v>35</v>
      </c>
      <c r="S101" s="106" t="s">
        <v>35</v>
      </c>
      <c r="T101" s="106" t="s">
        <v>35</v>
      </c>
      <c r="U101" s="106" t="s">
        <v>35</v>
      </c>
      <c r="V101" s="126">
        <v>2262</v>
      </c>
      <c r="W101" s="106" t="s">
        <v>35</v>
      </c>
      <c r="X101" s="106" t="s">
        <v>35</v>
      </c>
      <c r="Y101" s="106" t="s">
        <v>35</v>
      </c>
      <c r="Z101" s="106" t="s">
        <v>35</v>
      </c>
      <c r="AA101" s="126">
        <v>2102</v>
      </c>
      <c r="AB101" s="106" t="s">
        <v>35</v>
      </c>
      <c r="AC101" s="106" t="s">
        <v>35</v>
      </c>
      <c r="AD101" s="106" t="s">
        <v>35</v>
      </c>
      <c r="AE101" s="106" t="s">
        <v>35</v>
      </c>
      <c r="AF101" s="126">
        <v>2007</v>
      </c>
      <c r="AG101" s="106" t="s">
        <v>35</v>
      </c>
      <c r="AH101" s="106" t="s">
        <v>35</v>
      </c>
      <c r="AI101" s="106" t="s">
        <v>35</v>
      </c>
      <c r="AJ101" s="61">
        <v>1932</v>
      </c>
      <c r="AK101" s="126">
        <v>1932</v>
      </c>
      <c r="AL101" s="106" t="s">
        <v>35</v>
      </c>
      <c r="AM101" s="106" t="s">
        <v>35</v>
      </c>
      <c r="AN101" s="106" t="s">
        <v>35</v>
      </c>
      <c r="AO101" s="61">
        <v>1966</v>
      </c>
      <c r="AP101" s="126">
        <v>1966</v>
      </c>
      <c r="AQ101" s="106" t="s">
        <v>35</v>
      </c>
      <c r="AR101" s="106" t="s">
        <v>35</v>
      </c>
      <c r="AS101" s="106" t="s">
        <v>35</v>
      </c>
      <c r="AT101" s="61">
        <v>1905</v>
      </c>
      <c r="AU101" s="126">
        <v>1905</v>
      </c>
      <c r="AV101" s="106" t="s">
        <v>35</v>
      </c>
      <c r="AW101" s="106" t="s">
        <v>35</v>
      </c>
      <c r="AX101" s="106" t="s">
        <v>35</v>
      </c>
      <c r="AY101" s="61">
        <v>1864</v>
      </c>
      <c r="AZ101" s="126">
        <v>1864</v>
      </c>
      <c r="BA101" s="106" t="s">
        <v>35</v>
      </c>
      <c r="BB101" s="106" t="s">
        <v>35</v>
      </c>
      <c r="BC101" s="106" t="s">
        <v>35</v>
      </c>
      <c r="BD101" s="61">
        <f>BE101</f>
        <v>1653</v>
      </c>
      <c r="BE101" s="126">
        <v>1653</v>
      </c>
      <c r="BF101" s="106" t="s">
        <v>35</v>
      </c>
      <c r="BG101" s="106" t="s">
        <v>35</v>
      </c>
      <c r="BH101" s="106" t="s">
        <v>35</v>
      </c>
      <c r="BI101" s="61">
        <f>BJ101</f>
        <v>1419</v>
      </c>
      <c r="BJ101" s="126">
        <v>1419</v>
      </c>
      <c r="BK101" s="106" t="s">
        <v>35</v>
      </c>
      <c r="BL101" s="106" t="s">
        <v>35</v>
      </c>
      <c r="BM101" s="106" t="s">
        <v>35</v>
      </c>
      <c r="BN101" s="61">
        <v>1311</v>
      </c>
      <c r="BO101" s="126">
        <v>1311</v>
      </c>
      <c r="BP101" s="106" t="s">
        <v>35</v>
      </c>
      <c r="BQ101" s="106" t="s">
        <v>35</v>
      </c>
      <c r="BR101" s="106" t="s">
        <v>35</v>
      </c>
      <c r="BS101" s="61">
        <f>BT101</f>
        <v>1121</v>
      </c>
      <c r="BT101" s="126">
        <v>1121</v>
      </c>
    </row>
    <row r="102" spans="1:202" ht="3.75" customHeight="1">
      <c r="A102" s="62"/>
      <c r="B102" s="23"/>
      <c r="C102" s="63"/>
      <c r="D102" s="63"/>
      <c r="E102" s="63"/>
      <c r="F102" s="63"/>
      <c r="G102" s="23"/>
      <c r="H102" s="63"/>
      <c r="I102" s="63"/>
      <c r="J102" s="63"/>
      <c r="K102" s="63"/>
      <c r="L102" s="26"/>
      <c r="M102" s="63"/>
      <c r="N102" s="63"/>
      <c r="O102" s="63"/>
      <c r="P102" s="63"/>
      <c r="Q102" s="26"/>
      <c r="R102" s="63"/>
      <c r="S102" s="63"/>
      <c r="T102" s="63"/>
      <c r="U102" s="63"/>
      <c r="V102" s="26"/>
      <c r="W102" s="63"/>
      <c r="X102" s="63"/>
      <c r="Y102" s="63"/>
      <c r="Z102" s="63"/>
      <c r="AA102" s="26"/>
      <c r="AB102" s="63"/>
      <c r="AC102" s="63"/>
      <c r="AD102" s="63"/>
      <c r="AE102" s="63"/>
      <c r="AF102" s="26"/>
      <c r="AG102" s="63"/>
      <c r="AH102" s="63"/>
      <c r="AI102" s="63"/>
      <c r="AJ102" s="61"/>
      <c r="AK102" s="26"/>
      <c r="AL102" s="63"/>
      <c r="AM102" s="63"/>
      <c r="AN102" s="63"/>
      <c r="AO102" s="63"/>
      <c r="AP102" s="26"/>
      <c r="AQ102" s="63"/>
      <c r="AR102" s="63"/>
      <c r="AS102" s="63"/>
      <c r="AT102" s="63"/>
      <c r="AU102" s="26"/>
      <c r="AV102" s="63"/>
      <c r="AW102" s="63"/>
      <c r="AX102" s="63"/>
      <c r="AY102" s="63"/>
      <c r="AZ102" s="26"/>
      <c r="BA102" s="63"/>
      <c r="BB102" s="63"/>
      <c r="BC102" s="63"/>
      <c r="BD102" s="63"/>
      <c r="BE102" s="26"/>
      <c r="BF102" s="63"/>
      <c r="BG102" s="63"/>
      <c r="BH102" s="63"/>
      <c r="BI102" s="63"/>
      <c r="BJ102" s="26"/>
      <c r="BK102" s="63"/>
      <c r="BL102" s="63"/>
      <c r="BM102" s="63"/>
      <c r="BN102" s="63"/>
      <c r="BO102" s="26"/>
      <c r="BP102" s="63"/>
      <c r="BQ102" s="63"/>
      <c r="BR102" s="63"/>
      <c r="BS102" s="63"/>
      <c r="BT102" s="26"/>
    </row>
    <row r="103" spans="1:202">
      <c r="A103" s="62" t="s">
        <v>8</v>
      </c>
      <c r="B103" s="23"/>
      <c r="C103" s="64"/>
      <c r="D103" s="64"/>
      <c r="E103" s="64"/>
      <c r="F103" s="64"/>
      <c r="G103" s="23">
        <f>G101/B101-1</f>
        <v>-0.11293399465852727</v>
      </c>
      <c r="H103" s="64"/>
      <c r="I103" s="64"/>
      <c r="J103" s="64"/>
      <c r="K103" s="63"/>
      <c r="L103" s="23">
        <f>L101/G101-1</f>
        <v>5.1612903225806361E-2</v>
      </c>
      <c r="M103" s="64"/>
      <c r="N103" s="64"/>
      <c r="O103" s="64"/>
      <c r="P103" s="63"/>
      <c r="Q103" s="23">
        <f>Q101/L101-1</f>
        <v>-0.1361963190184049</v>
      </c>
      <c r="R103" s="64"/>
      <c r="S103" s="64"/>
      <c r="T103" s="64"/>
      <c r="U103" s="63"/>
      <c r="V103" s="23">
        <f>V101/Q101-1</f>
        <v>7.1022727272727293E-2</v>
      </c>
      <c r="W103" s="64"/>
      <c r="X103" s="64"/>
      <c r="Y103" s="64"/>
      <c r="Z103" s="63"/>
      <c r="AA103" s="23">
        <f>AA101/V101-1</f>
        <v>-7.0733863837312061E-2</v>
      </c>
      <c r="AB103" s="64"/>
      <c r="AC103" s="64"/>
      <c r="AD103" s="64"/>
      <c r="AE103" s="63"/>
      <c r="AF103" s="23">
        <f>AF101/AA101-1</f>
        <v>-4.5195052331113206E-2</v>
      </c>
      <c r="AG103" s="64"/>
      <c r="AH103" s="64"/>
      <c r="AI103" s="64"/>
      <c r="AJ103" s="63"/>
      <c r="AK103" s="23">
        <f>AK101/AF101-1</f>
        <v>-3.7369207772795177E-2</v>
      </c>
      <c r="AL103" s="64"/>
      <c r="AM103" s="64"/>
      <c r="AN103" s="64"/>
      <c r="AO103" s="63"/>
      <c r="AP103" s="23">
        <f>AP101/AK101-1</f>
        <v>1.7598343685300222E-2</v>
      </c>
      <c r="AQ103" s="64"/>
      <c r="AR103" s="64"/>
      <c r="AS103" s="64"/>
      <c r="AT103" s="63"/>
      <c r="AU103" s="23">
        <f>AU101/AP101-1</f>
        <v>-3.1027466937945114E-2</v>
      </c>
      <c r="AV103" s="64"/>
      <c r="AW103" s="64"/>
      <c r="AX103" s="64"/>
      <c r="AY103" s="63"/>
      <c r="AZ103" s="23">
        <f>AZ101/AU101-1</f>
        <v>-2.1522309711286103E-2</v>
      </c>
      <c r="BA103" s="64"/>
      <c r="BB103" s="64"/>
      <c r="BC103" s="64"/>
      <c r="BD103" s="63"/>
      <c r="BE103" s="23">
        <f>BE101/AZ101-1</f>
        <v>-0.1131974248927039</v>
      </c>
      <c r="BF103" s="64"/>
      <c r="BG103" s="64"/>
      <c r="BH103" s="64"/>
      <c r="BI103" s="63"/>
      <c r="BJ103" s="23">
        <f>BJ101/BE101-1</f>
        <v>-0.14156079854809434</v>
      </c>
      <c r="BK103" s="64"/>
      <c r="BL103" s="64"/>
      <c r="BM103" s="64"/>
      <c r="BN103" s="63"/>
      <c r="BO103" s="23">
        <f>BO101/BJ101-1</f>
        <v>-7.6109936575052828E-2</v>
      </c>
      <c r="BP103" s="64"/>
      <c r="BQ103" s="64"/>
      <c r="BR103" s="64"/>
      <c r="BS103" s="63"/>
      <c r="BT103" s="23">
        <f>BT101/BO101-1</f>
        <v>-0.14492753623188404</v>
      </c>
    </row>
    <row r="104" spans="1:202" ht="3.75" customHeight="1">
      <c r="A104" s="62"/>
      <c r="B104" s="23"/>
      <c r="C104" s="64"/>
      <c r="D104" s="64"/>
      <c r="E104" s="64"/>
      <c r="F104" s="64"/>
      <c r="G104" s="23"/>
      <c r="H104" s="64"/>
      <c r="I104" s="64"/>
      <c r="J104" s="64"/>
      <c r="K104" s="63"/>
      <c r="L104" s="23"/>
      <c r="M104" s="64"/>
      <c r="N104" s="64"/>
      <c r="O104" s="64"/>
      <c r="P104" s="63"/>
      <c r="Q104" s="23"/>
      <c r="R104" s="64"/>
      <c r="S104" s="64"/>
      <c r="T104" s="64"/>
      <c r="U104" s="63"/>
      <c r="V104" s="23"/>
      <c r="W104" s="64"/>
      <c r="X104" s="64"/>
      <c r="Y104" s="64"/>
      <c r="Z104" s="63"/>
      <c r="AA104" s="23"/>
      <c r="AB104" s="64"/>
      <c r="AC104" s="64"/>
      <c r="AD104" s="64"/>
      <c r="AE104" s="63"/>
      <c r="AF104" s="23"/>
      <c r="AG104" s="64"/>
      <c r="AH104" s="64"/>
      <c r="AI104" s="64"/>
      <c r="AJ104" s="63"/>
      <c r="AK104" s="23"/>
      <c r="AL104" s="64"/>
      <c r="AM104" s="64"/>
      <c r="AN104" s="64"/>
      <c r="AO104" s="63"/>
      <c r="AP104" s="23"/>
      <c r="AQ104" s="64"/>
      <c r="AR104" s="64"/>
      <c r="AS104" s="64"/>
      <c r="AT104" s="63"/>
      <c r="AU104" s="23"/>
      <c r="AV104" s="64"/>
      <c r="AW104" s="64"/>
      <c r="AX104" s="64"/>
      <c r="AY104" s="63"/>
      <c r="AZ104" s="23"/>
      <c r="BA104" s="64"/>
      <c r="BB104" s="64"/>
      <c r="BC104" s="64"/>
      <c r="BD104" s="63"/>
      <c r="BE104" s="23"/>
      <c r="BF104" s="64"/>
      <c r="BG104" s="64"/>
      <c r="BH104" s="64"/>
      <c r="BI104" s="63"/>
      <c r="BJ104" s="23"/>
      <c r="BK104" s="64"/>
      <c r="BL104" s="64"/>
      <c r="BM104" s="64"/>
      <c r="BN104" s="63"/>
      <c r="BO104" s="23"/>
      <c r="BP104" s="64"/>
      <c r="BQ104" s="64"/>
      <c r="BR104" s="64"/>
      <c r="BS104" s="63"/>
      <c r="BT104" s="23"/>
    </row>
    <row r="105" spans="1:202" ht="3.75" customHeight="1">
      <c r="A105" s="62"/>
      <c r="B105" s="23"/>
      <c r="C105" s="64"/>
      <c r="D105" s="64"/>
      <c r="E105" s="64"/>
      <c r="F105" s="64"/>
      <c r="G105" s="23"/>
      <c r="H105" s="64"/>
      <c r="I105" s="64"/>
      <c r="J105" s="64"/>
      <c r="K105" s="63"/>
      <c r="L105" s="23"/>
      <c r="M105" s="64"/>
      <c r="N105" s="64"/>
      <c r="O105" s="64"/>
      <c r="P105" s="63"/>
      <c r="Q105" s="23"/>
      <c r="R105" s="64"/>
      <c r="S105" s="64"/>
      <c r="T105" s="64"/>
      <c r="U105" s="63"/>
      <c r="V105" s="23"/>
      <c r="W105" s="64"/>
      <c r="X105" s="64"/>
      <c r="Y105" s="64"/>
      <c r="Z105" s="63"/>
      <c r="AA105" s="23"/>
      <c r="AB105" s="64"/>
      <c r="AC105" s="64"/>
      <c r="AD105" s="64"/>
      <c r="AE105" s="63"/>
      <c r="AF105" s="23"/>
      <c r="AG105" s="64"/>
      <c r="AH105" s="64"/>
      <c r="AI105" s="64"/>
      <c r="AJ105" s="63"/>
      <c r="AK105" s="23"/>
      <c r="AL105" s="64"/>
      <c r="AM105" s="64"/>
      <c r="AN105" s="64"/>
      <c r="AO105" s="63"/>
      <c r="AP105" s="23"/>
      <c r="AQ105" s="64"/>
      <c r="AR105" s="64"/>
      <c r="AS105" s="64"/>
      <c r="AT105" s="63"/>
      <c r="AU105" s="23"/>
      <c r="AV105" s="64"/>
      <c r="AW105" s="64"/>
      <c r="AX105" s="64"/>
      <c r="AY105" s="63"/>
      <c r="AZ105" s="23"/>
      <c r="BA105" s="64"/>
      <c r="BB105" s="64"/>
      <c r="BC105" s="64"/>
      <c r="BD105" s="63"/>
      <c r="BE105" s="23"/>
      <c r="BF105" s="64"/>
      <c r="BG105" s="64"/>
      <c r="BH105" s="64"/>
      <c r="BI105" s="63"/>
      <c r="BJ105" s="23"/>
      <c r="BK105" s="64"/>
      <c r="BL105" s="64"/>
      <c r="BM105" s="64"/>
      <c r="BN105" s="63"/>
      <c r="BO105" s="23"/>
      <c r="BP105" s="64"/>
      <c r="BQ105" s="64"/>
      <c r="BR105" s="64"/>
      <c r="BS105" s="63"/>
      <c r="BT105" s="23"/>
    </row>
    <row r="106" spans="1:202">
      <c r="A106" s="60" t="s">
        <v>128</v>
      </c>
      <c r="B106" s="86" t="s">
        <v>38</v>
      </c>
      <c r="C106" s="70" t="s">
        <v>38</v>
      </c>
      <c r="D106" s="70" t="s">
        <v>38</v>
      </c>
      <c r="E106" s="70" t="s">
        <v>38</v>
      </c>
      <c r="F106" s="70" t="s">
        <v>38</v>
      </c>
      <c r="G106" s="86" t="s">
        <v>38</v>
      </c>
      <c r="H106" s="68">
        <v>3.9E-2</v>
      </c>
      <c r="I106" s="68">
        <v>3.5999999999999997E-2</v>
      </c>
      <c r="J106" s="68">
        <v>3.4000000000000002E-2</v>
      </c>
      <c r="K106" s="68">
        <v>3.9E-2</v>
      </c>
      <c r="L106" s="37">
        <v>0.14799999999999999</v>
      </c>
      <c r="M106" s="68">
        <v>3.2000000000000001E-2</v>
      </c>
      <c r="N106" s="68">
        <v>2.9000000000000001E-2</v>
      </c>
      <c r="O106" s="68">
        <v>3.2000000000000001E-2</v>
      </c>
      <c r="P106" s="68">
        <v>3.5000000000000003E-2</v>
      </c>
      <c r="Q106" s="37">
        <v>0.127</v>
      </c>
      <c r="R106" s="68">
        <v>2.9000000000000001E-2</v>
      </c>
      <c r="S106" s="68">
        <v>2.8000000000000001E-2</v>
      </c>
      <c r="T106" s="68">
        <v>3.2000000000000001E-2</v>
      </c>
      <c r="U106" s="68">
        <v>3.6999999999999998E-2</v>
      </c>
      <c r="V106" s="37">
        <v>0.126</v>
      </c>
      <c r="W106" s="68">
        <v>4.2999999999999997E-2</v>
      </c>
      <c r="X106" s="68">
        <v>4.1000000000000002E-2</v>
      </c>
      <c r="Y106" s="68">
        <v>4.5999999999999999E-2</v>
      </c>
      <c r="Z106" s="68">
        <v>5.5E-2</v>
      </c>
      <c r="AA106" s="37">
        <v>0.184</v>
      </c>
      <c r="AB106" s="68">
        <v>4.2000000000000003E-2</v>
      </c>
      <c r="AC106" s="68">
        <v>4.4999999999999998E-2</v>
      </c>
      <c r="AD106" s="68">
        <v>4.7E-2</v>
      </c>
      <c r="AE106" s="68">
        <v>4.5999999999999999E-2</v>
      </c>
      <c r="AF106" s="37">
        <v>0.18</v>
      </c>
      <c r="AG106" s="68">
        <v>0.04</v>
      </c>
      <c r="AH106" s="68">
        <v>3.6999999999999998E-2</v>
      </c>
      <c r="AI106" s="68">
        <v>4.4999999999999998E-2</v>
      </c>
      <c r="AJ106" s="68">
        <v>4.7E-2</v>
      </c>
      <c r="AK106" s="37">
        <v>0.17</v>
      </c>
      <c r="AL106" s="68">
        <v>4.1000000000000002E-2</v>
      </c>
      <c r="AM106" s="109">
        <v>4.2000000000000003E-2</v>
      </c>
      <c r="AN106" s="68">
        <v>4.3999999999999997E-2</v>
      </c>
      <c r="AO106" s="68">
        <v>4.5999999999999999E-2</v>
      </c>
      <c r="AP106" s="37">
        <v>0.17299999999999999</v>
      </c>
      <c r="AQ106" s="68">
        <v>5.1999999999999998E-2</v>
      </c>
      <c r="AR106" s="109">
        <v>4.4999999999999998E-2</v>
      </c>
      <c r="AS106" s="109">
        <v>5.5E-2</v>
      </c>
      <c r="AT106" s="80">
        <f>AU106-AS106-AR106-AQ106</f>
        <v>5.1999999999999998E-2</v>
      </c>
      <c r="AU106" s="37">
        <v>0.20399999999999999</v>
      </c>
      <c r="AV106" s="68">
        <v>5.2999999999999999E-2</v>
      </c>
      <c r="AW106" s="68">
        <v>0.05</v>
      </c>
      <c r="AX106" s="68">
        <v>6.3E-2</v>
      </c>
      <c r="AY106" s="80">
        <f>AZ106-AX106-AW106-AV106</f>
        <v>6.8000000000000005E-2</v>
      </c>
      <c r="AZ106" s="37">
        <v>0.23400000000000001</v>
      </c>
      <c r="BA106" s="68">
        <v>0.06</v>
      </c>
      <c r="BB106" s="68">
        <v>0.06</v>
      </c>
      <c r="BC106" s="68">
        <v>5.8000000000000003E-2</v>
      </c>
      <c r="BD106" s="80">
        <f>BE106-BC106-BB106-BA106</f>
        <v>7.7000000000000013E-2</v>
      </c>
      <c r="BE106" s="37">
        <v>0.255</v>
      </c>
      <c r="BF106" s="68">
        <v>6.6000000000000003E-2</v>
      </c>
      <c r="BG106" s="68">
        <v>6.2E-2</v>
      </c>
      <c r="BH106" s="68">
        <v>7.0999999999999994E-2</v>
      </c>
      <c r="BI106" s="80">
        <v>6.3E-2</v>
      </c>
      <c r="BJ106" s="37">
        <f>BI106+BH106+BG106+BF106</f>
        <v>0.26200000000000001</v>
      </c>
      <c r="BK106" s="68">
        <v>6.7000000000000004E-2</v>
      </c>
      <c r="BL106" s="68">
        <v>6.0999999999999999E-2</v>
      </c>
      <c r="BM106" s="68">
        <v>7.1999999999999995E-2</v>
      </c>
      <c r="BN106" s="80">
        <f>BO106-BM106-BL106-BK106</f>
        <v>0.10199999999999998</v>
      </c>
      <c r="BO106" s="37">
        <v>0.30199999999999999</v>
      </c>
      <c r="BP106" s="68">
        <v>7.9000000000000001E-2</v>
      </c>
      <c r="BQ106" s="68">
        <v>0.06</v>
      </c>
      <c r="BR106" s="68">
        <v>5.5E-2</v>
      </c>
      <c r="BS106" s="80">
        <f>BT106-BR106-BQ106-BP106</f>
        <v>5.9000000000000011E-2</v>
      </c>
      <c r="BT106" s="37">
        <v>0.253</v>
      </c>
    </row>
    <row r="107" spans="1:202" ht="6" customHeight="1">
      <c r="A107" s="60"/>
      <c r="B107" s="86"/>
      <c r="C107" s="70"/>
      <c r="D107" s="70"/>
      <c r="E107" s="70"/>
      <c r="F107" s="70"/>
      <c r="G107" s="86"/>
      <c r="H107" s="68"/>
      <c r="I107" s="68"/>
      <c r="J107" s="68"/>
      <c r="K107" s="68"/>
      <c r="L107" s="37"/>
      <c r="M107" s="68"/>
      <c r="N107" s="68"/>
      <c r="O107" s="68"/>
      <c r="P107" s="68"/>
      <c r="Q107" s="37"/>
      <c r="R107" s="68"/>
      <c r="S107" s="68"/>
      <c r="T107" s="68"/>
      <c r="U107" s="68"/>
      <c r="V107" s="37"/>
      <c r="W107" s="68"/>
      <c r="X107" s="68"/>
      <c r="Y107" s="68"/>
      <c r="Z107" s="68"/>
      <c r="AA107" s="37"/>
      <c r="AB107" s="68"/>
      <c r="AC107" s="68"/>
      <c r="AD107" s="68"/>
      <c r="AE107" s="68"/>
      <c r="AF107" s="37"/>
      <c r="AG107" s="68"/>
      <c r="AH107" s="68"/>
      <c r="AI107" s="68"/>
      <c r="AJ107" s="68"/>
      <c r="AK107" s="37"/>
      <c r="AL107" s="68"/>
      <c r="AM107" s="68"/>
      <c r="AN107" s="68"/>
      <c r="AO107" s="68"/>
      <c r="AP107" s="37"/>
      <c r="AQ107" s="68"/>
      <c r="AR107" s="68"/>
      <c r="AS107" s="68"/>
      <c r="AT107" s="68"/>
      <c r="AU107" s="37"/>
      <c r="AV107" s="68"/>
      <c r="AW107" s="68"/>
      <c r="AX107" s="68"/>
      <c r="AY107" s="68"/>
      <c r="AZ107" s="37"/>
      <c r="BA107" s="68"/>
      <c r="BB107" s="68"/>
      <c r="BC107" s="68"/>
      <c r="BD107" s="68"/>
      <c r="BE107" s="37"/>
      <c r="BF107" s="68"/>
      <c r="BG107" s="68"/>
      <c r="BH107" s="68"/>
      <c r="BI107" s="68"/>
      <c r="BJ107" s="37"/>
      <c r="BK107" s="68"/>
      <c r="BL107" s="68"/>
      <c r="BM107" s="68"/>
      <c r="BN107" s="68"/>
      <c r="BO107" s="37"/>
      <c r="BP107" s="68"/>
      <c r="BQ107" s="68"/>
      <c r="BR107" s="68"/>
      <c r="BS107" s="68"/>
      <c r="BT107" s="37"/>
    </row>
    <row r="108" spans="1:202" ht="12" customHeight="1">
      <c r="A108" s="60" t="s">
        <v>119</v>
      </c>
      <c r="B108" s="127">
        <v>0.36</v>
      </c>
      <c r="C108" s="127"/>
      <c r="D108" s="127"/>
      <c r="E108" s="127"/>
      <c r="F108" s="127"/>
      <c r="G108" s="127">
        <v>0.36</v>
      </c>
      <c r="H108" s="127"/>
      <c r="I108" s="127"/>
      <c r="J108" s="127"/>
      <c r="K108" s="127"/>
      <c r="L108" s="127">
        <v>0.36</v>
      </c>
      <c r="M108" s="127"/>
      <c r="N108" s="127"/>
      <c r="O108" s="127"/>
      <c r="P108" s="127"/>
      <c r="Q108" s="127">
        <v>0.35899999999999999</v>
      </c>
      <c r="R108" s="127"/>
      <c r="S108" s="127"/>
      <c r="T108" s="127"/>
      <c r="U108" s="127"/>
      <c r="V108" s="127">
        <v>0.375</v>
      </c>
      <c r="W108" s="127"/>
      <c r="X108" s="127"/>
      <c r="Y108" s="127"/>
      <c r="Z108" s="127"/>
      <c r="AA108" s="127">
        <v>0.38800000000000001</v>
      </c>
      <c r="AB108" s="127"/>
      <c r="AC108" s="127"/>
      <c r="AD108" s="127"/>
      <c r="AE108" s="127"/>
      <c r="AF108" s="127">
        <v>0.40600000000000003</v>
      </c>
      <c r="AG108" s="106" t="s">
        <v>35</v>
      </c>
      <c r="AH108" s="106" t="s">
        <v>35</v>
      </c>
      <c r="AI108" s="106" t="s">
        <v>35</v>
      </c>
      <c r="AJ108" s="106" t="s">
        <v>35</v>
      </c>
      <c r="AK108" s="151">
        <v>0.42</v>
      </c>
      <c r="AL108" s="106" t="s">
        <v>35</v>
      </c>
      <c r="AM108" s="106" t="s">
        <v>35</v>
      </c>
      <c r="AN108" s="106" t="s">
        <v>35</v>
      </c>
      <c r="AO108" s="106" t="s">
        <v>35</v>
      </c>
      <c r="AP108" s="151">
        <v>0.44</v>
      </c>
      <c r="AQ108" s="106" t="s">
        <v>35</v>
      </c>
      <c r="AR108" s="106" t="s">
        <v>35</v>
      </c>
      <c r="AS108" s="106" t="s">
        <v>35</v>
      </c>
      <c r="AT108" s="106" t="s">
        <v>35</v>
      </c>
      <c r="AU108" s="151">
        <v>0.44</v>
      </c>
      <c r="AV108" s="106" t="s">
        <v>35</v>
      </c>
      <c r="AW108" s="106" t="s">
        <v>35</v>
      </c>
      <c r="AX108" s="68">
        <v>0.42099999999999999</v>
      </c>
      <c r="AY108" s="106" t="s">
        <v>35</v>
      </c>
      <c r="AZ108" s="193" t="s">
        <v>35</v>
      </c>
      <c r="BA108" s="106" t="s">
        <v>35</v>
      </c>
      <c r="BB108" s="106" t="s">
        <v>35</v>
      </c>
      <c r="BC108" s="68">
        <v>0.38200000000000001</v>
      </c>
      <c r="BD108" s="106" t="s">
        <v>35</v>
      </c>
      <c r="BE108" s="193" t="s">
        <v>35</v>
      </c>
      <c r="BF108" s="106" t="s">
        <v>35</v>
      </c>
      <c r="BG108" s="106" t="s">
        <v>35</v>
      </c>
      <c r="BH108" s="106" t="s">
        <v>35</v>
      </c>
      <c r="BI108" s="106" t="s">
        <v>35</v>
      </c>
      <c r="BJ108" s="37">
        <v>0.3</v>
      </c>
      <c r="BK108" s="106" t="s">
        <v>35</v>
      </c>
      <c r="BL108" s="106" t="s">
        <v>35</v>
      </c>
      <c r="BM108" s="106" t="s">
        <v>35</v>
      </c>
      <c r="BN108" s="106" t="s">
        <v>35</v>
      </c>
      <c r="BO108" s="37">
        <v>0.34</v>
      </c>
      <c r="BP108" s="106" t="s">
        <v>35</v>
      </c>
      <c r="BQ108" s="106" t="s">
        <v>35</v>
      </c>
      <c r="BR108" s="106" t="s">
        <v>35</v>
      </c>
      <c r="BS108" s="106" t="s">
        <v>35</v>
      </c>
      <c r="BT108" s="37">
        <v>0.34</v>
      </c>
    </row>
    <row r="109" spans="1:202" ht="3.75" customHeight="1">
      <c r="A109" s="60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06"/>
      <c r="AH109" s="106"/>
      <c r="AI109" s="106"/>
      <c r="AJ109" s="106"/>
      <c r="AK109" s="151"/>
      <c r="AL109" s="106"/>
      <c r="AM109" s="106"/>
      <c r="AN109" s="106"/>
      <c r="AO109" s="106"/>
      <c r="AP109" s="151"/>
      <c r="AQ109" s="106"/>
      <c r="AR109" s="106"/>
      <c r="AS109" s="106"/>
      <c r="AT109" s="106"/>
      <c r="AU109" s="151"/>
      <c r="AV109" s="106"/>
      <c r="AW109" s="106"/>
      <c r="AX109" s="106"/>
      <c r="AY109" s="106"/>
      <c r="AZ109" s="151"/>
      <c r="BA109" s="106"/>
      <c r="BB109" s="106"/>
      <c r="BC109" s="106"/>
      <c r="BD109" s="106"/>
      <c r="BE109" s="151"/>
      <c r="BF109" s="106"/>
      <c r="BG109" s="106"/>
      <c r="BH109" s="106"/>
      <c r="BI109" s="106"/>
      <c r="BJ109" s="151"/>
      <c r="BK109" s="106"/>
      <c r="BL109" s="106"/>
      <c r="BM109" s="106"/>
      <c r="BN109" s="106"/>
      <c r="BO109" s="151"/>
      <c r="BP109" s="106"/>
      <c r="BQ109" s="106"/>
      <c r="BR109" s="106"/>
      <c r="BS109" s="106"/>
      <c r="BT109" s="151"/>
    </row>
    <row r="110" spans="1:202">
      <c r="A110" s="60" t="s">
        <v>120</v>
      </c>
      <c r="B110" s="127">
        <v>0.36</v>
      </c>
      <c r="C110" s="127"/>
      <c r="D110" s="127"/>
      <c r="E110" s="127"/>
      <c r="F110" s="127"/>
      <c r="G110" s="127">
        <v>0.36</v>
      </c>
      <c r="H110" s="127"/>
      <c r="I110" s="127"/>
      <c r="J110" s="127"/>
      <c r="K110" s="127"/>
      <c r="L110" s="127">
        <v>0.31</v>
      </c>
      <c r="M110" s="127"/>
      <c r="N110" s="127"/>
      <c r="O110" s="127"/>
      <c r="P110" s="127"/>
      <c r="Q110" s="127">
        <v>0.307</v>
      </c>
      <c r="R110" s="127"/>
      <c r="S110" s="127"/>
      <c r="T110" s="127"/>
      <c r="U110" s="127"/>
      <c r="V110" s="127">
        <v>0.3</v>
      </c>
      <c r="W110" s="127"/>
      <c r="X110" s="127"/>
      <c r="Y110" s="127"/>
      <c r="Z110" s="127"/>
      <c r="AA110" s="127">
        <v>0.246</v>
      </c>
      <c r="AB110" s="127"/>
      <c r="AC110" s="127"/>
      <c r="AD110" s="127"/>
      <c r="AE110" s="127"/>
      <c r="AF110" s="127">
        <v>0.21199999999999999</v>
      </c>
      <c r="AG110" s="106" t="s">
        <v>35</v>
      </c>
      <c r="AH110" s="106" t="s">
        <v>35</v>
      </c>
      <c r="AI110" s="106" t="s">
        <v>35</v>
      </c>
      <c r="AJ110" s="106" t="s">
        <v>35</v>
      </c>
      <c r="AK110" s="151">
        <v>0.23</v>
      </c>
      <c r="AL110" s="106" t="s">
        <v>35</v>
      </c>
      <c r="AM110" s="106" t="s">
        <v>35</v>
      </c>
      <c r="AN110" s="106" t="s">
        <v>35</v>
      </c>
      <c r="AO110" s="106" t="s">
        <v>35</v>
      </c>
      <c r="AP110" s="151">
        <v>0.21</v>
      </c>
      <c r="AQ110" s="106" t="s">
        <v>35</v>
      </c>
      <c r="AR110" s="106" t="s">
        <v>35</v>
      </c>
      <c r="AS110" s="106" t="s">
        <v>35</v>
      </c>
      <c r="AT110" s="106" t="s">
        <v>35</v>
      </c>
      <c r="AU110" s="151">
        <v>0.21</v>
      </c>
      <c r="AV110" s="106" t="s">
        <v>35</v>
      </c>
      <c r="AW110" s="106" t="s">
        <v>35</v>
      </c>
      <c r="AX110" s="106" t="s">
        <v>35</v>
      </c>
      <c r="AY110" s="106" t="s">
        <v>35</v>
      </c>
      <c r="AZ110" s="127">
        <v>0.25600000000000001</v>
      </c>
      <c r="BA110" s="106" t="s">
        <v>35</v>
      </c>
      <c r="BB110" s="106" t="s">
        <v>35</v>
      </c>
      <c r="BC110" s="106" t="s">
        <v>35</v>
      </c>
      <c r="BD110" s="106" t="s">
        <v>35</v>
      </c>
      <c r="BE110" s="127">
        <v>0.23300000000000001</v>
      </c>
      <c r="BF110" s="106" t="s">
        <v>35</v>
      </c>
      <c r="BG110" s="106" t="s">
        <v>35</v>
      </c>
      <c r="BH110" s="106" t="s">
        <v>35</v>
      </c>
      <c r="BI110" s="106" t="s">
        <v>35</v>
      </c>
      <c r="BJ110" s="127">
        <v>0.27</v>
      </c>
      <c r="BK110" s="106" t="s">
        <v>35</v>
      </c>
      <c r="BL110" s="106" t="s">
        <v>35</v>
      </c>
      <c r="BM110" s="106" t="s">
        <v>35</v>
      </c>
      <c r="BN110" s="106" t="s">
        <v>35</v>
      </c>
      <c r="BO110" s="127">
        <v>0.223</v>
      </c>
      <c r="BP110" s="106" t="s">
        <v>35</v>
      </c>
      <c r="BQ110" s="106" t="s">
        <v>35</v>
      </c>
      <c r="BR110" s="106" t="s">
        <v>35</v>
      </c>
      <c r="BS110" s="106" t="s">
        <v>35</v>
      </c>
      <c r="BT110" s="127">
        <v>0.22600000000000001</v>
      </c>
    </row>
    <row r="111" spans="1:202" s="44" customFormat="1" ht="2.25" customHeight="1">
      <c r="A111" s="83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</row>
    <row r="112" spans="1:202" ht="10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</row>
    <row r="113" spans="1:202" s="44" customFormat="1" ht="3" customHeight="1">
      <c r="A113" s="83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</row>
    <row r="114" spans="1:202" s="25" customFormat="1" ht="20.25">
      <c r="A114" s="33" t="s">
        <v>20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</row>
    <row r="115" spans="1:20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</row>
    <row r="116" spans="1:202" s="41" customFormat="1" ht="12" customHeight="1">
      <c r="A116" s="328" t="s">
        <v>25</v>
      </c>
      <c r="B116" s="322"/>
      <c r="C116" s="316"/>
      <c r="D116" s="316"/>
      <c r="E116" s="316"/>
      <c r="F116" s="316"/>
      <c r="G116" s="322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  <c r="BH116" s="316"/>
      <c r="BI116" s="316"/>
      <c r="BJ116" s="316"/>
      <c r="BK116" s="316"/>
      <c r="BL116" s="316"/>
      <c r="BM116" s="316"/>
      <c r="BN116" s="316"/>
      <c r="BO116" s="316"/>
      <c r="BP116" s="316"/>
      <c r="BQ116" s="316"/>
      <c r="BR116" s="316"/>
      <c r="BS116" s="316"/>
      <c r="BT116" s="316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</row>
    <row r="117" spans="1:202" s="34" customFormat="1" ht="12" customHeight="1">
      <c r="V117" s="26"/>
      <c r="W117" s="26"/>
      <c r="X117" s="26"/>
      <c r="Y117" s="26"/>
      <c r="Z117" s="26"/>
      <c r="AA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O117" s="26"/>
      <c r="BT117" s="26"/>
    </row>
    <row r="118" spans="1:202" s="2" customFormat="1">
      <c r="A118" s="60" t="s">
        <v>210</v>
      </c>
      <c r="B118" s="28">
        <v>549</v>
      </c>
      <c r="C118" s="60">
        <v>549</v>
      </c>
      <c r="D118" s="60">
        <v>551</v>
      </c>
      <c r="E118" s="60">
        <v>556</v>
      </c>
      <c r="F118" s="60">
        <v>560</v>
      </c>
      <c r="G118" s="28">
        <v>560</v>
      </c>
      <c r="H118" s="60">
        <v>560</v>
      </c>
      <c r="I118" s="60">
        <v>562</v>
      </c>
      <c r="J118" s="60">
        <v>567</v>
      </c>
      <c r="K118" s="61">
        <v>571</v>
      </c>
      <c r="L118" s="27">
        <v>571</v>
      </c>
      <c r="M118" s="60">
        <v>571</v>
      </c>
      <c r="N118" s="60">
        <v>573</v>
      </c>
      <c r="O118" s="60">
        <v>575</v>
      </c>
      <c r="P118" s="61">
        <v>578</v>
      </c>
      <c r="Q118" s="27">
        <v>578</v>
      </c>
      <c r="R118" s="60">
        <v>580</v>
      </c>
      <c r="S118" s="60">
        <v>581</v>
      </c>
      <c r="T118" s="60">
        <v>585</v>
      </c>
      <c r="U118" s="61">
        <v>586</v>
      </c>
      <c r="V118" s="27">
        <v>586</v>
      </c>
      <c r="W118" s="60">
        <v>585</v>
      </c>
      <c r="X118" s="60">
        <v>582</v>
      </c>
      <c r="Y118" s="60">
        <v>581</v>
      </c>
      <c r="Z118" s="61">
        <v>578</v>
      </c>
      <c r="AA118" s="27">
        <v>578</v>
      </c>
      <c r="AB118" s="60">
        <v>578</v>
      </c>
      <c r="AC118" s="60">
        <v>583</v>
      </c>
      <c r="AD118" s="60">
        <v>593</v>
      </c>
      <c r="AE118" s="61">
        <v>600</v>
      </c>
      <c r="AF118" s="27">
        <v>600</v>
      </c>
      <c r="AG118" s="60">
        <v>605</v>
      </c>
      <c r="AH118" s="60">
        <v>611</v>
      </c>
      <c r="AI118" s="60">
        <v>622</v>
      </c>
      <c r="AJ118" s="61">
        <v>630</v>
      </c>
      <c r="AK118" s="27">
        <v>630</v>
      </c>
      <c r="AL118" s="60">
        <v>632</v>
      </c>
      <c r="AM118" s="60">
        <v>636</v>
      </c>
      <c r="AN118" s="60">
        <v>637</v>
      </c>
      <c r="AO118" s="61">
        <v>635</v>
      </c>
      <c r="AP118" s="27">
        <v>635</v>
      </c>
      <c r="AQ118" s="60">
        <v>629</v>
      </c>
      <c r="AR118" s="60">
        <v>623</v>
      </c>
      <c r="AS118" s="60">
        <v>618</v>
      </c>
      <c r="AT118" s="61">
        <v>614</v>
      </c>
      <c r="AU118" s="27">
        <v>614</v>
      </c>
      <c r="AV118" s="60">
        <v>608</v>
      </c>
      <c r="AW118" s="60">
        <v>603</v>
      </c>
      <c r="AX118" s="60">
        <v>597</v>
      </c>
      <c r="AY118" s="61">
        <v>587</v>
      </c>
      <c r="AZ118" s="27">
        <v>587</v>
      </c>
      <c r="BA118" s="60">
        <v>580</v>
      </c>
      <c r="BB118" s="34">
        <v>582</v>
      </c>
      <c r="BC118" s="34">
        <v>584</v>
      </c>
      <c r="BD118" s="131">
        <f>BE118</f>
        <v>574</v>
      </c>
      <c r="BE118" s="196">
        <v>574</v>
      </c>
      <c r="BF118" s="60">
        <v>568</v>
      </c>
      <c r="BG118" s="34">
        <v>565</v>
      </c>
      <c r="BH118" s="34">
        <v>558</v>
      </c>
      <c r="BI118" s="131">
        <f>BJ118</f>
        <v>555</v>
      </c>
      <c r="BJ118" s="196">
        <v>555</v>
      </c>
      <c r="BK118" s="60">
        <v>556</v>
      </c>
      <c r="BL118" s="34">
        <v>557</v>
      </c>
      <c r="BM118" s="34">
        <v>556</v>
      </c>
      <c r="BN118" s="131">
        <v>557</v>
      </c>
      <c r="BO118" s="196">
        <v>557</v>
      </c>
      <c r="BP118" s="60">
        <v>559</v>
      </c>
      <c r="BQ118" s="34">
        <v>560</v>
      </c>
      <c r="BR118" s="34">
        <v>560</v>
      </c>
      <c r="BS118" s="131">
        <f>BT118</f>
        <v>563</v>
      </c>
      <c r="BT118" s="196">
        <v>563</v>
      </c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</row>
    <row r="119" spans="1:202">
      <c r="A119" s="62" t="s">
        <v>7</v>
      </c>
      <c r="B119" s="23"/>
      <c r="C119" s="63"/>
      <c r="D119" s="63">
        <f>D118/C118-1</f>
        <v>3.6429872495447047E-3</v>
      </c>
      <c r="E119" s="63">
        <f>E118/D118-1</f>
        <v>9.0744101633393193E-3</v>
      </c>
      <c r="F119" s="63">
        <f>F118/E118-1</f>
        <v>7.194244604316502E-3</v>
      </c>
      <c r="G119" s="23"/>
      <c r="H119" s="63">
        <f>H118/F118-1</f>
        <v>0</v>
      </c>
      <c r="I119" s="63">
        <f>I118/H118-1</f>
        <v>3.5714285714285587E-3</v>
      </c>
      <c r="J119" s="63">
        <f>J118/I118-1</f>
        <v>8.8967971530249379E-3</v>
      </c>
      <c r="K119" s="63">
        <f>K118/J118-1</f>
        <v>7.0546737213403876E-3</v>
      </c>
      <c r="L119" s="26"/>
      <c r="M119" s="63">
        <f>M118/K118-1</f>
        <v>0</v>
      </c>
      <c r="N119" s="63">
        <f>N118/M118-1</f>
        <v>3.5026269702276291E-3</v>
      </c>
      <c r="O119" s="63">
        <f>O118/N118-1</f>
        <v>3.4904013961605251E-3</v>
      </c>
      <c r="P119" s="63">
        <f>P118/O118-1</f>
        <v>5.2173913043478404E-3</v>
      </c>
      <c r="Q119" s="26"/>
      <c r="R119" s="63">
        <f>R118/P118-1</f>
        <v>3.4602076124568004E-3</v>
      </c>
      <c r="S119" s="63">
        <f>S118/R118-1</f>
        <v>1.7241379310344307E-3</v>
      </c>
      <c r="T119" s="63">
        <f>T118/S118-1</f>
        <v>6.8846815834766595E-3</v>
      </c>
      <c r="U119" s="63">
        <f>U118/T118-1</f>
        <v>1.7094017094017033E-3</v>
      </c>
      <c r="V119" s="26"/>
      <c r="W119" s="63">
        <f>W118/U118-1</f>
        <v>-1.7064846416382506E-3</v>
      </c>
      <c r="X119" s="63">
        <f>X118/W118-1</f>
        <v>-5.12820512820511E-3</v>
      </c>
      <c r="Y119" s="63">
        <f>Y118/X118-1</f>
        <v>-1.7182130584192379E-3</v>
      </c>
      <c r="Z119" s="63">
        <f>Z118/Y118-1</f>
        <v>-5.1635111876076056E-3</v>
      </c>
      <c r="AA119" s="26"/>
      <c r="AB119" s="63">
        <f>AB118/Z118-1</f>
        <v>0</v>
      </c>
      <c r="AC119" s="63">
        <f>AC118/AB118-1</f>
        <v>8.65051903114189E-3</v>
      </c>
      <c r="AD119" s="63">
        <f>AD118/AC118-1</f>
        <v>1.7152658662092701E-2</v>
      </c>
      <c r="AE119" s="63">
        <f>AE118/AD118-1</f>
        <v>1.180438448566612E-2</v>
      </c>
      <c r="AF119" s="26"/>
      <c r="AG119" s="63">
        <f>AG118/AE118-1</f>
        <v>8.3333333333333037E-3</v>
      </c>
      <c r="AH119" s="63">
        <f>AH118/AG118-1</f>
        <v>9.917355371900749E-3</v>
      </c>
      <c r="AI119" s="63">
        <f>AI118/AH118-1</f>
        <v>1.8003273322422242E-2</v>
      </c>
      <c r="AJ119" s="63">
        <f>AJ118/AI118-1</f>
        <v>1.2861736334405238E-2</v>
      </c>
      <c r="AK119" s="26"/>
      <c r="AL119" s="63">
        <f>AL118/AJ118-1</f>
        <v>3.1746031746031633E-3</v>
      </c>
      <c r="AM119" s="63">
        <f>AM118/AL118-1</f>
        <v>6.3291139240506666E-3</v>
      </c>
      <c r="AN119" s="63">
        <f>AN118/AM118-1</f>
        <v>1.5723270440251014E-3</v>
      </c>
      <c r="AO119" s="63">
        <f>AO118/AN118-1</f>
        <v>-3.1397174254317317E-3</v>
      </c>
      <c r="AP119" s="26"/>
      <c r="AQ119" s="63">
        <f>AQ118/AO118-1</f>
        <v>-9.4488188976378229E-3</v>
      </c>
      <c r="AR119" s="63">
        <f>AR118/AQ118-1</f>
        <v>-9.5389507154213238E-3</v>
      </c>
      <c r="AS119" s="63">
        <f>AS118/AR118-1</f>
        <v>-8.0256821829856051E-3</v>
      </c>
      <c r="AT119" s="63">
        <f>AT118/AS118-1</f>
        <v>-6.4724919093851474E-3</v>
      </c>
      <c r="AU119" s="26"/>
      <c r="AV119" s="63">
        <f>AV118/AT118-1</f>
        <v>-9.7719869706840434E-3</v>
      </c>
      <c r="AW119" s="63">
        <f>AW118/AV118-1</f>
        <v>-8.2236842105263275E-3</v>
      </c>
      <c r="AX119" s="63">
        <f>AX118/AW118-1</f>
        <v>-9.9502487562188602E-3</v>
      </c>
      <c r="AY119" s="63">
        <f>AY118/AX118-1</f>
        <v>-1.675041876046901E-2</v>
      </c>
      <c r="AZ119" s="26"/>
      <c r="BA119" s="63">
        <f>BA118/AY118-1</f>
        <v>-1.1925042589437829E-2</v>
      </c>
      <c r="BB119" s="149">
        <f>BB118/BA118-1</f>
        <v>3.4482758620688614E-3</v>
      </c>
      <c r="BC119" s="149">
        <f>BC118/BB118-1</f>
        <v>3.4364261168384758E-3</v>
      </c>
      <c r="BD119" s="149">
        <f>BD118/BC118-1</f>
        <v>-1.7123287671232834E-2</v>
      </c>
      <c r="BE119" s="26"/>
      <c r="BF119" s="63">
        <f>BF118/BD118-1</f>
        <v>-1.0452961672473893E-2</v>
      </c>
      <c r="BG119" s="149">
        <f>BG118/BF118-1</f>
        <v>-5.2816901408451189E-3</v>
      </c>
      <c r="BH119" s="149">
        <f>BH118/BG118-1</f>
        <v>-1.2389380530973493E-2</v>
      </c>
      <c r="BI119" s="149">
        <f>BI118/BH118-1</f>
        <v>-5.3763440860215006E-3</v>
      </c>
      <c r="BJ119" s="26"/>
      <c r="BK119" s="63">
        <f>BK118/BI118-1</f>
        <v>1.8018018018017834E-3</v>
      </c>
      <c r="BL119" s="149">
        <f>BL118/BK118-1</f>
        <v>1.7985611510791255E-3</v>
      </c>
      <c r="BM119" s="149">
        <f>BM118/BL118-1</f>
        <v>-1.7953321364452268E-3</v>
      </c>
      <c r="BN119" s="149">
        <f>BN118/BM118-1</f>
        <v>1.7985611510791255E-3</v>
      </c>
      <c r="BO119" s="26"/>
      <c r="BP119" s="63">
        <f>BP118/BN118-1</f>
        <v>3.5906642728904536E-3</v>
      </c>
      <c r="BQ119" s="149">
        <f>BQ118/BP118-1</f>
        <v>1.7889087656528524E-3</v>
      </c>
      <c r="BR119" s="149">
        <f>BR118/BQ118-1</f>
        <v>0</v>
      </c>
      <c r="BS119" s="149">
        <f>BS118/BR118-1</f>
        <v>5.3571428571428381E-3</v>
      </c>
      <c r="BT119" s="26"/>
    </row>
    <row r="120" spans="1:202">
      <c r="A120" s="62" t="s">
        <v>8</v>
      </c>
      <c r="B120" s="23"/>
      <c r="C120" s="64"/>
      <c r="D120" s="64"/>
      <c r="E120" s="64"/>
      <c r="F120" s="64"/>
      <c r="G120" s="23">
        <f t="shared" ref="G120:N120" si="49">G118/B118-1</f>
        <v>2.0036429872495543E-2</v>
      </c>
      <c r="H120" s="64">
        <f t="shared" si="49"/>
        <v>2.0036429872495543E-2</v>
      </c>
      <c r="I120" s="64">
        <f t="shared" si="49"/>
        <v>1.9963702359346636E-2</v>
      </c>
      <c r="J120" s="64">
        <f t="shared" si="49"/>
        <v>1.9784172661870603E-2</v>
      </c>
      <c r="K120" s="63">
        <f t="shared" si="49"/>
        <v>1.9642857142857073E-2</v>
      </c>
      <c r="L120" s="23">
        <f t="shared" si="49"/>
        <v>1.9642857142857073E-2</v>
      </c>
      <c r="M120" s="64">
        <f t="shared" si="49"/>
        <v>1.9642857142857073E-2</v>
      </c>
      <c r="N120" s="64">
        <f t="shared" si="49"/>
        <v>1.9572953736654908E-2</v>
      </c>
      <c r="O120" s="64">
        <f t="shared" ref="O120:Y120" si="50">O118/J118-1</f>
        <v>1.4109347442680775E-2</v>
      </c>
      <c r="P120" s="63">
        <f t="shared" si="50"/>
        <v>1.2259194395796813E-2</v>
      </c>
      <c r="Q120" s="23">
        <f t="shared" si="50"/>
        <v>1.2259194395796813E-2</v>
      </c>
      <c r="R120" s="64">
        <f t="shared" si="50"/>
        <v>1.5761821366024442E-2</v>
      </c>
      <c r="S120" s="64">
        <f t="shared" si="50"/>
        <v>1.3961605584642323E-2</v>
      </c>
      <c r="T120" s="64">
        <f t="shared" si="50"/>
        <v>1.7391304347825987E-2</v>
      </c>
      <c r="U120" s="63">
        <f t="shared" si="50"/>
        <v>1.384083044982698E-2</v>
      </c>
      <c r="V120" s="23">
        <f t="shared" si="50"/>
        <v>1.384083044982698E-2</v>
      </c>
      <c r="W120" s="64">
        <f t="shared" si="50"/>
        <v>8.6206896551723755E-3</v>
      </c>
      <c r="X120" s="64">
        <f t="shared" si="50"/>
        <v>1.7211703958692759E-3</v>
      </c>
      <c r="Y120" s="64">
        <f t="shared" si="50"/>
        <v>-6.8376068376068133E-3</v>
      </c>
      <c r="Z120" s="63">
        <f t="shared" ref="Z120:AI120" si="51">Z118/U118-1</f>
        <v>-1.3651877133105783E-2</v>
      </c>
      <c r="AA120" s="23">
        <f t="shared" si="51"/>
        <v>-1.3651877133105783E-2</v>
      </c>
      <c r="AB120" s="64">
        <f t="shared" si="51"/>
        <v>-1.1965811965811923E-2</v>
      </c>
      <c r="AC120" s="64">
        <f t="shared" si="51"/>
        <v>1.7182130584192379E-3</v>
      </c>
      <c r="AD120" s="64">
        <f t="shared" si="51"/>
        <v>2.06540447504302E-2</v>
      </c>
      <c r="AE120" s="63">
        <f t="shared" si="51"/>
        <v>3.8062283737024138E-2</v>
      </c>
      <c r="AF120" s="23">
        <f t="shared" si="51"/>
        <v>3.8062283737024138E-2</v>
      </c>
      <c r="AG120" s="64">
        <f t="shared" si="51"/>
        <v>4.6712802768166028E-2</v>
      </c>
      <c r="AH120" s="64">
        <f t="shared" si="51"/>
        <v>4.8027444253859297E-2</v>
      </c>
      <c r="AI120" s="64">
        <f t="shared" si="51"/>
        <v>4.8903878583473892E-2</v>
      </c>
      <c r="AJ120" s="63">
        <f t="shared" ref="AJ120:AS120" si="52">AJ118/AE118-1</f>
        <v>5.0000000000000044E-2</v>
      </c>
      <c r="AK120" s="23">
        <f t="shared" si="52"/>
        <v>5.0000000000000044E-2</v>
      </c>
      <c r="AL120" s="64">
        <f t="shared" si="52"/>
        <v>4.4628099173553704E-2</v>
      </c>
      <c r="AM120" s="64">
        <f t="shared" si="52"/>
        <v>4.0916530278232388E-2</v>
      </c>
      <c r="AN120" s="64">
        <f t="shared" si="52"/>
        <v>2.4115755627009738E-2</v>
      </c>
      <c r="AO120" s="63">
        <f t="shared" si="52"/>
        <v>7.9365079365079083E-3</v>
      </c>
      <c r="AP120" s="23">
        <f t="shared" si="52"/>
        <v>7.9365079365079083E-3</v>
      </c>
      <c r="AQ120" s="64">
        <f t="shared" si="52"/>
        <v>-4.746835443038E-3</v>
      </c>
      <c r="AR120" s="64">
        <f t="shared" si="52"/>
        <v>-2.0440251572327095E-2</v>
      </c>
      <c r="AS120" s="64">
        <f t="shared" si="52"/>
        <v>-2.9827315541601229E-2</v>
      </c>
      <c r="AT120" s="63">
        <f t="shared" ref="AT120:BT120" si="53">AT118/AO118-1</f>
        <v>-3.3070866141732269E-2</v>
      </c>
      <c r="AU120" s="23">
        <f t="shared" si="53"/>
        <v>-3.3070866141732269E-2</v>
      </c>
      <c r="AV120" s="64">
        <f t="shared" si="53"/>
        <v>-3.3386327503974522E-2</v>
      </c>
      <c r="AW120" s="64">
        <f t="shared" si="53"/>
        <v>-3.2102728731942198E-2</v>
      </c>
      <c r="AX120" s="64">
        <f t="shared" si="53"/>
        <v>-3.398058252427183E-2</v>
      </c>
      <c r="AY120" s="63">
        <f t="shared" si="53"/>
        <v>-4.3973941368078195E-2</v>
      </c>
      <c r="AZ120" s="23">
        <f t="shared" si="53"/>
        <v>-4.3973941368078195E-2</v>
      </c>
      <c r="BA120" s="64">
        <f t="shared" si="53"/>
        <v>-4.6052631578947345E-2</v>
      </c>
      <c r="BB120" s="148">
        <f t="shared" si="53"/>
        <v>-3.4825870646766122E-2</v>
      </c>
      <c r="BC120" s="148">
        <f t="shared" si="53"/>
        <v>-2.1775544388609736E-2</v>
      </c>
      <c r="BD120" s="149">
        <f t="shared" si="53"/>
        <v>-2.2146507666098825E-2</v>
      </c>
      <c r="BE120" s="23">
        <f t="shared" si="53"/>
        <v>-2.2146507666098825E-2</v>
      </c>
      <c r="BF120" s="64">
        <f t="shared" si="53"/>
        <v>-2.0689655172413834E-2</v>
      </c>
      <c r="BG120" s="148">
        <f t="shared" si="53"/>
        <v>-2.9209621993127155E-2</v>
      </c>
      <c r="BH120" s="148">
        <f t="shared" si="53"/>
        <v>-4.4520547945205435E-2</v>
      </c>
      <c r="BI120" s="149">
        <f t="shared" si="53"/>
        <v>-3.3101045296167197E-2</v>
      </c>
      <c r="BJ120" s="23">
        <f t="shared" si="53"/>
        <v>-3.3101045296167197E-2</v>
      </c>
      <c r="BK120" s="64">
        <f t="shared" si="53"/>
        <v>-2.1126760563380254E-2</v>
      </c>
      <c r="BL120" s="148">
        <f t="shared" si="53"/>
        <v>-1.415929203539823E-2</v>
      </c>
      <c r="BM120" s="148">
        <f t="shared" si="53"/>
        <v>-3.5842293906810374E-3</v>
      </c>
      <c r="BN120" s="149">
        <f t="shared" si="53"/>
        <v>3.6036036036035668E-3</v>
      </c>
      <c r="BO120" s="23">
        <f t="shared" si="53"/>
        <v>3.6036036036035668E-3</v>
      </c>
      <c r="BP120" s="64">
        <f t="shared" si="53"/>
        <v>5.3956834532373765E-3</v>
      </c>
      <c r="BQ120" s="148">
        <f t="shared" si="53"/>
        <v>5.3859964093356805E-3</v>
      </c>
      <c r="BR120" s="148">
        <f t="shared" si="53"/>
        <v>7.194244604316502E-3</v>
      </c>
      <c r="BS120" s="149">
        <f t="shared" si="53"/>
        <v>1.0771992818671361E-2</v>
      </c>
      <c r="BT120" s="23">
        <f t="shared" si="53"/>
        <v>1.0771992818671361E-2</v>
      </c>
    </row>
    <row r="121" spans="1:202" ht="11.65" customHeight="1">
      <c r="A121" s="62" t="s">
        <v>156</v>
      </c>
      <c r="B121" s="23"/>
      <c r="C121" s="64"/>
      <c r="D121" s="64"/>
      <c r="E121" s="64"/>
      <c r="F121" s="64"/>
      <c r="G121" s="23"/>
      <c r="H121" s="64"/>
      <c r="I121" s="64"/>
      <c r="J121" s="64"/>
      <c r="K121" s="63"/>
      <c r="L121" s="23"/>
      <c r="M121" s="64"/>
      <c r="N121" s="64"/>
      <c r="O121" s="64"/>
      <c r="P121" s="63"/>
      <c r="Q121" s="23"/>
      <c r="R121" s="64"/>
      <c r="S121" s="64"/>
      <c r="T121" s="64"/>
      <c r="U121" s="63"/>
      <c r="V121" s="297"/>
      <c r="W121" s="290"/>
      <c r="X121" s="290"/>
      <c r="Y121" s="290"/>
      <c r="Z121" s="291"/>
      <c r="AA121" s="297"/>
      <c r="AB121" s="290"/>
      <c r="AC121" s="290"/>
      <c r="AD121" s="290"/>
      <c r="AE121" s="291"/>
      <c r="AF121" s="297"/>
      <c r="AG121" s="290"/>
      <c r="AH121" s="290"/>
      <c r="AI121" s="290"/>
      <c r="AJ121" s="291"/>
      <c r="AK121" s="297"/>
      <c r="AL121" s="290"/>
      <c r="AM121" s="292">
        <f>AM118-AL118</f>
        <v>4</v>
      </c>
      <c r="AN121" s="292">
        <f>AN118-AM118</f>
        <v>1</v>
      </c>
      <c r="AO121" s="292">
        <f>AO118-AN118</f>
        <v>-2</v>
      </c>
      <c r="AP121" s="298"/>
      <c r="AQ121" s="293">
        <f>AQ118-AO118</f>
        <v>-6</v>
      </c>
      <c r="AR121" s="293">
        <f>AR118-AQ118</f>
        <v>-6</v>
      </c>
      <c r="AS121" s="293">
        <f>AS118-AR118</f>
        <v>-5</v>
      </c>
      <c r="AT121" s="293">
        <f>AT118-AS118</f>
        <v>-4</v>
      </c>
      <c r="AU121" s="289">
        <f>AU118-AP118</f>
        <v>-21</v>
      </c>
      <c r="AV121" s="293">
        <f>AV118-AT118</f>
        <v>-6</v>
      </c>
      <c r="AW121" s="293">
        <f>AW118-AV118</f>
        <v>-5</v>
      </c>
      <c r="AX121" s="293">
        <f>AX118-AW118</f>
        <v>-6</v>
      </c>
      <c r="AY121" s="293">
        <f>AY118-AX118</f>
        <v>-10</v>
      </c>
      <c r="AZ121" s="289">
        <f>AZ118-AU118</f>
        <v>-27</v>
      </c>
      <c r="BA121" s="293">
        <f>BA118-AY118</f>
        <v>-7</v>
      </c>
      <c r="BB121" s="293">
        <f>BB118-BA118</f>
        <v>2</v>
      </c>
      <c r="BC121" s="293">
        <f>BC118-BB118</f>
        <v>2</v>
      </c>
      <c r="BD121" s="293">
        <f>BD118-BC118</f>
        <v>-10</v>
      </c>
      <c r="BE121" s="289">
        <f>BE118-AZ118</f>
        <v>-13</v>
      </c>
      <c r="BF121" s="293">
        <f>BF118-BD118</f>
        <v>-6</v>
      </c>
      <c r="BG121" s="293">
        <f>BG118-BF118</f>
        <v>-3</v>
      </c>
      <c r="BH121" s="293">
        <f>BH118-BG118</f>
        <v>-7</v>
      </c>
      <c r="BI121" s="293">
        <f>BI118-BH118</f>
        <v>-3</v>
      </c>
      <c r="BJ121" s="289">
        <f>BJ118-BE118</f>
        <v>-19</v>
      </c>
      <c r="BK121" s="293">
        <f>BK118-BI118</f>
        <v>1</v>
      </c>
      <c r="BL121" s="293">
        <f>BL118-BK118</f>
        <v>1</v>
      </c>
      <c r="BM121" s="293">
        <f>BM118-BL118</f>
        <v>-1</v>
      </c>
      <c r="BN121" s="293">
        <f>BN118-BM118</f>
        <v>1</v>
      </c>
      <c r="BO121" s="289">
        <f>BO118-BJ118</f>
        <v>2</v>
      </c>
      <c r="BP121" s="293">
        <f>BP118-BN118</f>
        <v>2</v>
      </c>
      <c r="BQ121" s="293">
        <f>BQ118-BP118</f>
        <v>1</v>
      </c>
      <c r="BR121" s="293">
        <f>BR118-BQ118</f>
        <v>0</v>
      </c>
      <c r="BS121" s="293">
        <f>BS118-BR118</f>
        <v>3</v>
      </c>
      <c r="BT121" s="289">
        <f>BT118-BO118</f>
        <v>6</v>
      </c>
    </row>
    <row r="122" spans="1:202" ht="11.65" customHeight="1">
      <c r="A122" s="62"/>
      <c r="B122" s="23"/>
      <c r="C122" s="64"/>
      <c r="D122" s="64"/>
      <c r="E122" s="64"/>
      <c r="F122" s="64"/>
      <c r="G122" s="23"/>
      <c r="H122" s="64"/>
      <c r="I122" s="64"/>
      <c r="J122" s="64"/>
      <c r="K122" s="63"/>
      <c r="L122" s="23"/>
      <c r="M122" s="64"/>
      <c r="N122" s="64"/>
      <c r="O122" s="64"/>
      <c r="P122" s="63"/>
      <c r="Q122" s="23"/>
      <c r="R122" s="64"/>
      <c r="S122" s="64"/>
      <c r="T122" s="64"/>
      <c r="U122" s="63"/>
      <c r="V122" s="297"/>
      <c r="W122" s="290"/>
      <c r="X122" s="290"/>
      <c r="Y122" s="290"/>
      <c r="Z122" s="291"/>
      <c r="AA122" s="297"/>
      <c r="AB122" s="290"/>
      <c r="AC122" s="290"/>
      <c r="AD122" s="290"/>
      <c r="AE122" s="291"/>
      <c r="AF122" s="297"/>
      <c r="AG122" s="290"/>
      <c r="AH122" s="290"/>
      <c r="AI122" s="290"/>
      <c r="AJ122" s="291"/>
      <c r="AK122" s="297"/>
      <c r="AL122" s="290"/>
      <c r="AM122" s="292"/>
      <c r="AN122" s="292"/>
      <c r="AO122" s="292"/>
      <c r="AP122" s="298"/>
      <c r="AQ122" s="293"/>
      <c r="AR122" s="293"/>
      <c r="AS122" s="293"/>
      <c r="AT122" s="293"/>
      <c r="AU122" s="289"/>
      <c r="AV122" s="293"/>
      <c r="AW122" s="293"/>
      <c r="AX122" s="293"/>
      <c r="AY122" s="293"/>
      <c r="AZ122" s="289"/>
      <c r="BA122" s="293"/>
      <c r="BB122" s="293"/>
      <c r="BC122" s="293"/>
      <c r="BD122" s="293"/>
      <c r="BE122" s="289"/>
      <c r="BF122" s="293"/>
      <c r="BG122" s="293"/>
      <c r="BH122" s="293"/>
      <c r="BI122" s="293"/>
      <c r="BJ122" s="289"/>
      <c r="BK122" s="293"/>
      <c r="BL122" s="293"/>
      <c r="BM122" s="293"/>
      <c r="BN122" s="293"/>
      <c r="BO122" s="289"/>
      <c r="BP122" s="293"/>
      <c r="BQ122" s="293"/>
      <c r="BR122" s="293"/>
      <c r="BS122" s="293"/>
      <c r="BT122" s="289"/>
    </row>
    <row r="123" spans="1:202" ht="11.65" customHeight="1">
      <c r="A123" s="60" t="s">
        <v>400</v>
      </c>
      <c r="B123" s="23"/>
      <c r="C123" s="64"/>
      <c r="D123" s="64"/>
      <c r="E123" s="64"/>
      <c r="F123" s="64"/>
      <c r="G123" s="23"/>
      <c r="H123" s="64"/>
      <c r="I123" s="64"/>
      <c r="J123" s="64"/>
      <c r="K123" s="63"/>
      <c r="L123" s="23"/>
      <c r="M123" s="64"/>
      <c r="N123" s="64"/>
      <c r="O123" s="64"/>
      <c r="P123" s="63"/>
      <c r="Q123" s="23"/>
      <c r="R123" s="64"/>
      <c r="S123" s="64"/>
      <c r="T123" s="64"/>
      <c r="U123" s="63"/>
      <c r="V123" s="86" t="s">
        <v>38</v>
      </c>
      <c r="W123" s="86" t="s">
        <v>38</v>
      </c>
      <c r="X123" s="86" t="s">
        <v>38</v>
      </c>
      <c r="Y123" s="86" t="s">
        <v>38</v>
      </c>
      <c r="Z123" s="86" t="s">
        <v>38</v>
      </c>
      <c r="AA123" s="86" t="s">
        <v>38</v>
      </c>
      <c r="AB123" s="86" t="s">
        <v>38</v>
      </c>
      <c r="AC123" s="86" t="s">
        <v>38</v>
      </c>
      <c r="AD123" s="86" t="s">
        <v>38</v>
      </c>
      <c r="AE123" s="86" t="s">
        <v>38</v>
      </c>
      <c r="AF123" s="86" t="s">
        <v>38</v>
      </c>
      <c r="AG123" s="86" t="s">
        <v>38</v>
      </c>
      <c r="AH123" s="86" t="s">
        <v>38</v>
      </c>
      <c r="AI123" s="86" t="s">
        <v>38</v>
      </c>
      <c r="AJ123" s="86" t="s">
        <v>38</v>
      </c>
      <c r="AK123" s="86" t="s">
        <v>38</v>
      </c>
      <c r="AL123" s="86" t="s">
        <v>38</v>
      </c>
      <c r="AM123" s="86" t="s">
        <v>38</v>
      </c>
      <c r="AN123" s="86" t="s">
        <v>38</v>
      </c>
      <c r="AO123" s="86" t="s">
        <v>38</v>
      </c>
      <c r="AP123" s="86" t="s">
        <v>38</v>
      </c>
      <c r="AQ123" s="86" t="s">
        <v>38</v>
      </c>
      <c r="AR123" s="86" t="s">
        <v>38</v>
      </c>
      <c r="AS123" s="86" t="s">
        <v>38</v>
      </c>
      <c r="AT123" s="86" t="s">
        <v>38</v>
      </c>
      <c r="AU123" s="86" t="s">
        <v>38</v>
      </c>
      <c r="AV123" s="86" t="s">
        <v>38</v>
      </c>
      <c r="AW123" s="86" t="s">
        <v>38</v>
      </c>
      <c r="AX123" s="86" t="s">
        <v>38</v>
      </c>
      <c r="AY123" s="86" t="s">
        <v>38</v>
      </c>
      <c r="AZ123" s="86" t="s">
        <v>38</v>
      </c>
      <c r="BA123" s="86" t="s">
        <v>38</v>
      </c>
      <c r="BB123" s="86" t="s">
        <v>38</v>
      </c>
      <c r="BC123" s="86" t="s">
        <v>38</v>
      </c>
      <c r="BD123" s="86" t="s">
        <v>38</v>
      </c>
      <c r="BE123" s="86" t="s">
        <v>38</v>
      </c>
      <c r="BF123" s="86" t="s">
        <v>38</v>
      </c>
      <c r="BG123" s="86" t="s">
        <v>38</v>
      </c>
      <c r="BH123" s="86" t="s">
        <v>38</v>
      </c>
      <c r="BI123" s="86" t="s">
        <v>38</v>
      </c>
      <c r="BJ123" s="86" t="s">
        <v>38</v>
      </c>
      <c r="BK123" s="60">
        <f t="shared" ref="BK123:BT123" si="54">BK118-BK128</f>
        <v>512</v>
      </c>
      <c r="BL123" s="60">
        <f t="shared" si="54"/>
        <v>509</v>
      </c>
      <c r="BM123" s="60">
        <f t="shared" si="54"/>
        <v>500</v>
      </c>
      <c r="BN123" s="60">
        <f t="shared" si="54"/>
        <v>493</v>
      </c>
      <c r="BO123" s="196">
        <f t="shared" si="54"/>
        <v>493</v>
      </c>
      <c r="BP123" s="60">
        <f t="shared" si="54"/>
        <v>489</v>
      </c>
      <c r="BQ123" s="60">
        <f t="shared" si="54"/>
        <v>486</v>
      </c>
      <c r="BR123" s="60">
        <f t="shared" si="54"/>
        <v>481</v>
      </c>
      <c r="BS123" s="60">
        <f t="shared" si="54"/>
        <v>479</v>
      </c>
      <c r="BT123" s="196">
        <f t="shared" si="54"/>
        <v>479</v>
      </c>
    </row>
    <row r="124" spans="1:202" ht="11.65" customHeight="1">
      <c r="A124" s="62" t="s">
        <v>7</v>
      </c>
      <c r="B124" s="23"/>
      <c r="C124" s="64"/>
      <c r="D124" s="64"/>
      <c r="E124" s="64"/>
      <c r="F124" s="64"/>
      <c r="G124" s="23"/>
      <c r="H124" s="64"/>
      <c r="I124" s="64"/>
      <c r="J124" s="64"/>
      <c r="K124" s="63"/>
      <c r="L124" s="23"/>
      <c r="M124" s="64"/>
      <c r="N124" s="64"/>
      <c r="O124" s="64"/>
      <c r="P124" s="63"/>
      <c r="Q124" s="23"/>
      <c r="R124" s="64"/>
      <c r="S124" s="64"/>
      <c r="T124" s="64"/>
      <c r="U124" s="63"/>
      <c r="V124" s="297"/>
      <c r="W124" s="290"/>
      <c r="X124" s="290"/>
      <c r="Y124" s="290"/>
      <c r="Z124" s="291"/>
      <c r="AA124" s="297"/>
      <c r="AB124" s="290"/>
      <c r="AC124" s="290"/>
      <c r="AD124" s="290"/>
      <c r="AE124" s="291"/>
      <c r="AF124" s="297"/>
      <c r="AG124" s="290"/>
      <c r="AH124" s="290"/>
      <c r="AI124" s="290"/>
      <c r="AJ124" s="291"/>
      <c r="AK124" s="297"/>
      <c r="AL124" s="290"/>
      <c r="AM124" s="292"/>
      <c r="AN124" s="292"/>
      <c r="AO124" s="292"/>
      <c r="AP124" s="298"/>
      <c r="AQ124" s="293"/>
      <c r="AR124" s="293"/>
      <c r="AS124" s="293"/>
      <c r="AT124" s="293"/>
      <c r="AU124" s="289"/>
      <c r="AV124" s="293"/>
      <c r="AW124" s="293"/>
      <c r="AX124" s="293"/>
      <c r="AY124" s="293"/>
      <c r="AZ124" s="289"/>
      <c r="BA124" s="293"/>
      <c r="BB124" s="293"/>
      <c r="BC124" s="293"/>
      <c r="BD124" s="293"/>
      <c r="BE124" s="289"/>
      <c r="BF124" s="293"/>
      <c r="BG124" s="293"/>
      <c r="BH124" s="293"/>
      <c r="BI124" s="293"/>
      <c r="BJ124" s="289"/>
      <c r="BK124" s="63"/>
      <c r="BL124" s="149">
        <f>BL123/BK123-1</f>
        <v>-5.859375E-3</v>
      </c>
      <c r="BM124" s="149">
        <f>BM123/BL123-1</f>
        <v>-1.7681728880157177E-2</v>
      </c>
      <c r="BN124" s="149">
        <f>BN123/BM123-1</f>
        <v>-1.4000000000000012E-2</v>
      </c>
      <c r="BO124" s="26"/>
      <c r="BP124" s="63">
        <f>BP123/BN123-1</f>
        <v>-8.113590263691739E-3</v>
      </c>
      <c r="BQ124" s="149">
        <f>BQ123/BP123-1</f>
        <v>-6.1349693251533388E-3</v>
      </c>
      <c r="BR124" s="149">
        <f>BR123/BQ123-1</f>
        <v>-1.0288065843621408E-2</v>
      </c>
      <c r="BS124" s="149">
        <f>BS123/BR123-1</f>
        <v>-4.1580041580041582E-3</v>
      </c>
      <c r="BT124" s="26"/>
    </row>
    <row r="125" spans="1:202" ht="11.65" customHeight="1">
      <c r="A125" s="62" t="s">
        <v>8</v>
      </c>
      <c r="B125" s="23"/>
      <c r="C125" s="64"/>
      <c r="D125" s="64"/>
      <c r="E125" s="64"/>
      <c r="F125" s="64"/>
      <c r="G125" s="23"/>
      <c r="H125" s="64"/>
      <c r="I125" s="64"/>
      <c r="J125" s="64"/>
      <c r="K125" s="63"/>
      <c r="L125" s="23"/>
      <c r="M125" s="64"/>
      <c r="N125" s="64"/>
      <c r="O125" s="64"/>
      <c r="P125" s="63"/>
      <c r="Q125" s="23"/>
      <c r="R125" s="64"/>
      <c r="S125" s="64"/>
      <c r="T125" s="64"/>
      <c r="U125" s="63"/>
      <c r="V125" s="297"/>
      <c r="W125" s="290"/>
      <c r="X125" s="290"/>
      <c r="Y125" s="290"/>
      <c r="Z125" s="291"/>
      <c r="AA125" s="297"/>
      <c r="AB125" s="290"/>
      <c r="AC125" s="290"/>
      <c r="AD125" s="290"/>
      <c r="AE125" s="291"/>
      <c r="AF125" s="297"/>
      <c r="AG125" s="290"/>
      <c r="AH125" s="290"/>
      <c r="AI125" s="290"/>
      <c r="AJ125" s="291"/>
      <c r="AK125" s="297"/>
      <c r="AL125" s="290"/>
      <c r="AM125" s="292"/>
      <c r="AN125" s="292"/>
      <c r="AO125" s="292"/>
      <c r="AP125" s="298"/>
      <c r="AQ125" s="293"/>
      <c r="AR125" s="293"/>
      <c r="AS125" s="293"/>
      <c r="AT125" s="293"/>
      <c r="AU125" s="289"/>
      <c r="AV125" s="293"/>
      <c r="AW125" s="293"/>
      <c r="AX125" s="293"/>
      <c r="AY125" s="293"/>
      <c r="AZ125" s="289"/>
      <c r="BA125" s="293"/>
      <c r="BB125" s="293"/>
      <c r="BC125" s="293"/>
      <c r="BD125" s="293"/>
      <c r="BE125" s="289"/>
      <c r="BF125" s="293"/>
      <c r="BG125" s="293"/>
      <c r="BH125" s="293"/>
      <c r="BI125" s="293"/>
      <c r="BJ125" s="289"/>
      <c r="BK125" s="64"/>
      <c r="BL125" s="148"/>
      <c r="BM125" s="148"/>
      <c r="BN125" s="149"/>
      <c r="BO125" s="23"/>
      <c r="BP125" s="64">
        <f>BP123/BK123-1</f>
        <v>-4.4921875E-2</v>
      </c>
      <c r="BQ125" s="148">
        <f>BQ123/BL123-1</f>
        <v>-4.5186640471512773E-2</v>
      </c>
      <c r="BR125" s="148">
        <f>BR123/BM123-1</f>
        <v>-3.8000000000000034E-2</v>
      </c>
      <c r="BS125" s="149">
        <f>BS123/BN123-1</f>
        <v>-2.8397565922920864E-2</v>
      </c>
      <c r="BT125" s="23">
        <f>BT123/BO123-1</f>
        <v>-2.8397565922920864E-2</v>
      </c>
    </row>
    <row r="126" spans="1:202" ht="11.65" customHeight="1">
      <c r="A126" s="62" t="s">
        <v>156</v>
      </c>
      <c r="B126" s="23"/>
      <c r="C126" s="64"/>
      <c r="D126" s="64"/>
      <c r="E126" s="64"/>
      <c r="F126" s="64"/>
      <c r="G126" s="23"/>
      <c r="H126" s="64"/>
      <c r="I126" s="64"/>
      <c r="J126" s="64"/>
      <c r="K126" s="63"/>
      <c r="L126" s="23"/>
      <c r="M126" s="64"/>
      <c r="N126" s="64"/>
      <c r="O126" s="64"/>
      <c r="P126" s="63"/>
      <c r="Q126" s="23"/>
      <c r="R126" s="64"/>
      <c r="S126" s="64"/>
      <c r="T126" s="64"/>
      <c r="U126" s="63"/>
      <c r="V126" s="297"/>
      <c r="W126" s="290"/>
      <c r="X126" s="290"/>
      <c r="Y126" s="290"/>
      <c r="Z126" s="291"/>
      <c r="AA126" s="297"/>
      <c r="AB126" s="290"/>
      <c r="AC126" s="290"/>
      <c r="AD126" s="290"/>
      <c r="AE126" s="291"/>
      <c r="AF126" s="297"/>
      <c r="AG126" s="290"/>
      <c r="AH126" s="290"/>
      <c r="AI126" s="290"/>
      <c r="AJ126" s="291"/>
      <c r="AK126" s="297"/>
      <c r="AL126" s="290"/>
      <c r="AM126" s="292"/>
      <c r="AN126" s="292"/>
      <c r="AO126" s="292"/>
      <c r="AP126" s="298"/>
      <c r="AQ126" s="293"/>
      <c r="AR126" s="293"/>
      <c r="AS126" s="293"/>
      <c r="AT126" s="293"/>
      <c r="AU126" s="289"/>
      <c r="AV126" s="293"/>
      <c r="AW126" s="293"/>
      <c r="AX126" s="293"/>
      <c r="AY126" s="293"/>
      <c r="AZ126" s="289"/>
      <c r="BA126" s="293"/>
      <c r="BB126" s="293"/>
      <c r="BC126" s="293"/>
      <c r="BD126" s="293"/>
      <c r="BE126" s="289"/>
      <c r="BF126" s="293"/>
      <c r="BG126" s="293"/>
      <c r="BH126" s="293"/>
      <c r="BI126" s="293"/>
      <c r="BJ126" s="289"/>
      <c r="BK126" s="293"/>
      <c r="BL126" s="293">
        <f>BL123-BK123</f>
        <v>-3</v>
      </c>
      <c r="BM126" s="293">
        <f>BM123-BL123</f>
        <v>-9</v>
      </c>
      <c r="BN126" s="293">
        <f>BN123-BM123</f>
        <v>-7</v>
      </c>
      <c r="BO126" s="289"/>
      <c r="BP126" s="293">
        <f>BP123-BN123</f>
        <v>-4</v>
      </c>
      <c r="BQ126" s="293">
        <f>BQ123-BP123</f>
        <v>-3</v>
      </c>
      <c r="BR126" s="293">
        <f>BR123-BQ123</f>
        <v>-5</v>
      </c>
      <c r="BS126" s="293">
        <f>BS123-BR123</f>
        <v>-2</v>
      </c>
      <c r="BT126" s="289">
        <f>BT123-BO123</f>
        <v>-14</v>
      </c>
    </row>
    <row r="127" spans="1:202" ht="11.65" customHeight="1">
      <c r="A127" s="62"/>
      <c r="B127" s="23"/>
      <c r="C127" s="64"/>
      <c r="D127" s="64"/>
      <c r="E127" s="64"/>
      <c r="F127" s="64"/>
      <c r="G127" s="23"/>
      <c r="H127" s="64"/>
      <c r="I127" s="64"/>
      <c r="J127" s="64"/>
      <c r="K127" s="63"/>
      <c r="L127" s="23"/>
      <c r="M127" s="64"/>
      <c r="N127" s="64"/>
      <c r="O127" s="64"/>
      <c r="P127" s="63"/>
      <c r="Q127" s="23"/>
      <c r="R127" s="64"/>
      <c r="S127" s="64"/>
      <c r="T127" s="64"/>
      <c r="U127" s="63"/>
      <c r="V127" s="297"/>
      <c r="W127" s="290"/>
      <c r="X127" s="290"/>
      <c r="Y127" s="290"/>
      <c r="Z127" s="291"/>
      <c r="AA127" s="297"/>
      <c r="AB127" s="290"/>
      <c r="AC127" s="290"/>
      <c r="AD127" s="290"/>
      <c r="AE127" s="291"/>
      <c r="AF127" s="297"/>
      <c r="AG127" s="290"/>
      <c r="AH127" s="290"/>
      <c r="AI127" s="290"/>
      <c r="AJ127" s="291"/>
      <c r="AK127" s="297"/>
      <c r="AL127" s="290"/>
      <c r="AM127" s="292"/>
      <c r="AN127" s="292"/>
      <c r="AO127" s="292"/>
      <c r="AP127" s="298"/>
      <c r="AQ127" s="293"/>
      <c r="AR127" s="293"/>
      <c r="AS127" s="293"/>
      <c r="AT127" s="293"/>
      <c r="AU127" s="289"/>
      <c r="AV127" s="293"/>
      <c r="AW127" s="293"/>
      <c r="AX127" s="293"/>
      <c r="AY127" s="293"/>
      <c r="AZ127" s="289"/>
      <c r="BA127" s="293"/>
      <c r="BB127" s="293"/>
      <c r="BC127" s="293"/>
      <c r="BD127" s="293"/>
      <c r="BE127" s="289"/>
      <c r="BF127" s="293"/>
      <c r="BG127" s="293"/>
      <c r="BH127" s="293"/>
      <c r="BI127" s="293"/>
      <c r="BJ127" s="289"/>
      <c r="BK127" s="293"/>
      <c r="BL127" s="293"/>
      <c r="BM127" s="293"/>
      <c r="BN127" s="293"/>
      <c r="BO127" s="289"/>
      <c r="BP127" s="293"/>
      <c r="BQ127" s="293"/>
      <c r="BR127" s="293"/>
      <c r="BS127" s="293"/>
      <c r="BT127" s="289"/>
    </row>
    <row r="128" spans="1:202" ht="11.25" customHeight="1">
      <c r="A128" s="60" t="s">
        <v>398</v>
      </c>
      <c r="B128" s="23"/>
      <c r="C128" s="64"/>
      <c r="D128" s="64"/>
      <c r="E128" s="64"/>
      <c r="F128" s="64"/>
      <c r="G128" s="23"/>
      <c r="H128" s="64"/>
      <c r="I128" s="64"/>
      <c r="J128" s="64"/>
      <c r="K128" s="63"/>
      <c r="L128" s="23"/>
      <c r="M128" s="64"/>
      <c r="N128" s="64"/>
      <c r="O128" s="64"/>
      <c r="P128" s="63"/>
      <c r="Q128" s="23"/>
      <c r="R128" s="64"/>
      <c r="S128" s="64"/>
      <c r="T128" s="64"/>
      <c r="U128" s="63"/>
      <c r="V128" s="86" t="s">
        <v>38</v>
      </c>
      <c r="W128" s="86" t="s">
        <v>38</v>
      </c>
      <c r="X128" s="86" t="s">
        <v>38</v>
      </c>
      <c r="Y128" s="86" t="s">
        <v>38</v>
      </c>
      <c r="Z128" s="86" t="s">
        <v>38</v>
      </c>
      <c r="AA128" s="86" t="s">
        <v>38</v>
      </c>
      <c r="AB128" s="86" t="s">
        <v>38</v>
      </c>
      <c r="AC128" s="86" t="s">
        <v>38</v>
      </c>
      <c r="AD128" s="86" t="s">
        <v>38</v>
      </c>
      <c r="AE128" s="86" t="s">
        <v>38</v>
      </c>
      <c r="AF128" s="86" t="s">
        <v>38</v>
      </c>
      <c r="AG128" s="86" t="s">
        <v>38</v>
      </c>
      <c r="AH128" s="86" t="s">
        <v>38</v>
      </c>
      <c r="AI128" s="86" t="s">
        <v>38</v>
      </c>
      <c r="AJ128" s="86" t="s">
        <v>38</v>
      </c>
      <c r="AK128" s="86" t="s">
        <v>38</v>
      </c>
      <c r="AL128" s="86" t="s">
        <v>38</v>
      </c>
      <c r="AM128" s="86" t="s">
        <v>38</v>
      </c>
      <c r="AN128" s="86" t="s">
        <v>38</v>
      </c>
      <c r="AO128" s="86" t="s">
        <v>38</v>
      </c>
      <c r="AP128" s="86" t="s">
        <v>38</v>
      </c>
      <c r="AQ128" s="86" t="s">
        <v>38</v>
      </c>
      <c r="AR128" s="86" t="s">
        <v>38</v>
      </c>
      <c r="AS128" s="86" t="s">
        <v>38</v>
      </c>
      <c r="AT128" s="86" t="s">
        <v>38</v>
      </c>
      <c r="AU128" s="86" t="s">
        <v>38</v>
      </c>
      <c r="AV128" s="86" t="s">
        <v>38</v>
      </c>
      <c r="AW128" s="86" t="s">
        <v>38</v>
      </c>
      <c r="AX128" s="86" t="s">
        <v>38</v>
      </c>
      <c r="AY128" s="86" t="s">
        <v>38</v>
      </c>
      <c r="AZ128" s="86" t="s">
        <v>38</v>
      </c>
      <c r="BA128" s="86" t="s">
        <v>38</v>
      </c>
      <c r="BB128" s="86" t="s">
        <v>38</v>
      </c>
      <c r="BC128" s="86" t="s">
        <v>38</v>
      </c>
      <c r="BD128" s="86" t="s">
        <v>38</v>
      </c>
      <c r="BE128" s="86" t="s">
        <v>38</v>
      </c>
      <c r="BF128" s="86" t="s">
        <v>38</v>
      </c>
      <c r="BG128" s="86" t="s">
        <v>38</v>
      </c>
      <c r="BH128" s="86" t="s">
        <v>38</v>
      </c>
      <c r="BI128" s="86" t="s">
        <v>38</v>
      </c>
      <c r="BJ128" s="196">
        <v>36</v>
      </c>
      <c r="BK128" s="60">
        <v>44</v>
      </c>
      <c r="BL128" s="34">
        <v>48</v>
      </c>
      <c r="BM128" s="34">
        <v>56</v>
      </c>
      <c r="BN128" s="131">
        <v>64</v>
      </c>
      <c r="BO128" s="196">
        <v>64</v>
      </c>
      <c r="BP128" s="60">
        <v>70</v>
      </c>
      <c r="BQ128" s="34">
        <v>74</v>
      </c>
      <c r="BR128" s="34">
        <v>79</v>
      </c>
      <c r="BS128" s="131">
        <v>84</v>
      </c>
      <c r="BT128" s="196">
        <v>84</v>
      </c>
    </row>
    <row r="129" spans="1:72" ht="11.25" customHeight="1">
      <c r="A129" s="62" t="s">
        <v>7</v>
      </c>
      <c r="B129" s="23"/>
      <c r="C129" s="64"/>
      <c r="D129" s="64"/>
      <c r="E129" s="64"/>
      <c r="F129" s="64"/>
      <c r="G129" s="23"/>
      <c r="H129" s="64"/>
      <c r="I129" s="64"/>
      <c r="J129" s="64"/>
      <c r="K129" s="63"/>
      <c r="L129" s="23"/>
      <c r="M129" s="64"/>
      <c r="N129" s="64"/>
      <c r="O129" s="64"/>
      <c r="P129" s="63"/>
      <c r="Q129" s="23"/>
      <c r="R129" s="64"/>
      <c r="S129" s="64"/>
      <c r="T129" s="64"/>
      <c r="U129" s="63"/>
      <c r="V129" s="23"/>
      <c r="W129" s="64"/>
      <c r="X129" s="64"/>
      <c r="Y129" s="64"/>
      <c r="Z129" s="63"/>
      <c r="AA129" s="23"/>
      <c r="AB129" s="64"/>
      <c r="AC129" s="64"/>
      <c r="AD129" s="64"/>
      <c r="AE129" s="63"/>
      <c r="AF129" s="23"/>
      <c r="AG129" s="64"/>
      <c r="AH129" s="64"/>
      <c r="AI129" s="64"/>
      <c r="AJ129" s="63"/>
      <c r="AK129" s="23"/>
      <c r="AL129" s="64"/>
      <c r="AM129" s="73"/>
      <c r="AN129" s="73"/>
      <c r="AO129" s="63"/>
      <c r="AP129" s="23"/>
      <c r="AQ129" s="64"/>
      <c r="AR129" s="73"/>
      <c r="AS129" s="73"/>
      <c r="AT129" s="63"/>
      <c r="AU129" s="23"/>
      <c r="AV129" s="64"/>
      <c r="AW129" s="64"/>
      <c r="AX129" s="64"/>
      <c r="AY129" s="63"/>
      <c r="AZ129" s="23"/>
      <c r="BA129" s="64"/>
      <c r="BB129" s="148"/>
      <c r="BC129" s="148"/>
      <c r="BD129" s="149"/>
      <c r="BE129" s="23"/>
      <c r="BF129" s="64"/>
      <c r="BG129" s="148"/>
      <c r="BH129" s="148"/>
      <c r="BI129" s="149"/>
      <c r="BJ129" s="23"/>
      <c r="BK129" s="63"/>
      <c r="BL129" s="149">
        <f>BL128/BK128-1</f>
        <v>9.0909090909090828E-2</v>
      </c>
      <c r="BM129" s="149">
        <f>BM128/BL128-1</f>
        <v>0.16666666666666674</v>
      </c>
      <c r="BN129" s="149">
        <f>BN128/BM128-1</f>
        <v>0.14285714285714279</v>
      </c>
      <c r="BO129" s="26"/>
      <c r="BP129" s="63">
        <f>BP128/BN128-1</f>
        <v>9.375E-2</v>
      </c>
      <c r="BQ129" s="149">
        <f>BQ128/BP128-1</f>
        <v>5.7142857142857162E-2</v>
      </c>
      <c r="BR129" s="149">
        <f>BR128/BQ128-1</f>
        <v>6.7567567567567544E-2</v>
      </c>
      <c r="BS129" s="149">
        <f>BS128/BR128-1</f>
        <v>6.3291139240506222E-2</v>
      </c>
      <c r="BT129" s="26"/>
    </row>
    <row r="130" spans="1:72" ht="11.25" customHeight="1">
      <c r="A130" s="62" t="s">
        <v>8</v>
      </c>
      <c r="B130" s="23"/>
      <c r="C130" s="64"/>
      <c r="D130" s="64"/>
      <c r="E130" s="64"/>
      <c r="F130" s="64"/>
      <c r="G130" s="23"/>
      <c r="H130" s="64"/>
      <c r="I130" s="64"/>
      <c r="J130" s="64"/>
      <c r="K130" s="63"/>
      <c r="L130" s="23"/>
      <c r="M130" s="64"/>
      <c r="N130" s="64"/>
      <c r="O130" s="64"/>
      <c r="P130" s="63"/>
      <c r="Q130" s="23"/>
      <c r="R130" s="64"/>
      <c r="S130" s="64"/>
      <c r="T130" s="64"/>
      <c r="U130" s="63"/>
      <c r="V130" s="23"/>
      <c r="W130" s="64"/>
      <c r="X130" s="64"/>
      <c r="Y130" s="64"/>
      <c r="Z130" s="63"/>
      <c r="AA130" s="23"/>
      <c r="AB130" s="64"/>
      <c r="AC130" s="64"/>
      <c r="AD130" s="64"/>
      <c r="AE130" s="63"/>
      <c r="AF130" s="23"/>
      <c r="AG130" s="64"/>
      <c r="AH130" s="64"/>
      <c r="AI130" s="64"/>
      <c r="AJ130" s="63"/>
      <c r="AK130" s="23"/>
      <c r="AL130" s="64"/>
      <c r="AM130" s="73"/>
      <c r="AN130" s="73"/>
      <c r="AO130" s="63"/>
      <c r="AP130" s="23"/>
      <c r="AQ130" s="64"/>
      <c r="AR130" s="73"/>
      <c r="AS130" s="73"/>
      <c r="AT130" s="63"/>
      <c r="AU130" s="23"/>
      <c r="AV130" s="64"/>
      <c r="AW130" s="64"/>
      <c r="AX130" s="64"/>
      <c r="AY130" s="63"/>
      <c r="AZ130" s="23"/>
      <c r="BA130" s="64"/>
      <c r="BB130" s="148"/>
      <c r="BC130" s="148"/>
      <c r="BD130" s="149"/>
      <c r="BE130" s="23"/>
      <c r="BF130" s="64"/>
      <c r="BG130" s="148"/>
      <c r="BH130" s="148"/>
      <c r="BI130" s="149"/>
      <c r="BJ130" s="23"/>
      <c r="BK130" s="64"/>
      <c r="BL130" s="148"/>
      <c r="BM130" s="148"/>
      <c r="BN130" s="149"/>
      <c r="BO130" s="23">
        <f t="shared" ref="BO130:BT130" si="55">BO128/BJ128-1</f>
        <v>0.77777777777777768</v>
      </c>
      <c r="BP130" s="64">
        <f t="shared" si="55"/>
        <v>0.59090909090909083</v>
      </c>
      <c r="BQ130" s="148">
        <f t="shared" si="55"/>
        <v>0.54166666666666674</v>
      </c>
      <c r="BR130" s="148">
        <f t="shared" si="55"/>
        <v>0.41071428571428581</v>
      </c>
      <c r="BS130" s="149">
        <f t="shared" si="55"/>
        <v>0.3125</v>
      </c>
      <c r="BT130" s="23">
        <f t="shared" si="55"/>
        <v>0.3125</v>
      </c>
    </row>
    <row r="131" spans="1:72" ht="11.25" customHeight="1">
      <c r="A131" s="62" t="s">
        <v>156</v>
      </c>
      <c r="B131" s="23"/>
      <c r="C131" s="64"/>
      <c r="D131" s="64"/>
      <c r="E131" s="64"/>
      <c r="F131" s="64"/>
      <c r="G131" s="23"/>
      <c r="H131" s="64"/>
      <c r="I131" s="64"/>
      <c r="J131" s="64"/>
      <c r="K131" s="63"/>
      <c r="L131" s="23"/>
      <c r="M131" s="64"/>
      <c r="N131" s="64"/>
      <c r="O131" s="64"/>
      <c r="P131" s="63"/>
      <c r="Q131" s="23"/>
      <c r="R131" s="64"/>
      <c r="S131" s="64"/>
      <c r="T131" s="64"/>
      <c r="U131" s="63"/>
      <c r="V131" s="23"/>
      <c r="W131" s="64"/>
      <c r="X131" s="64"/>
      <c r="Y131" s="64"/>
      <c r="Z131" s="63"/>
      <c r="AA131" s="23"/>
      <c r="AB131" s="64"/>
      <c r="AC131" s="64"/>
      <c r="AD131" s="64"/>
      <c r="AE131" s="63"/>
      <c r="AF131" s="23"/>
      <c r="AG131" s="64"/>
      <c r="AH131" s="64"/>
      <c r="AI131" s="64"/>
      <c r="AJ131" s="63"/>
      <c r="AK131" s="23"/>
      <c r="AL131" s="64"/>
      <c r="AM131" s="73"/>
      <c r="AN131" s="73"/>
      <c r="AO131" s="63"/>
      <c r="AP131" s="23"/>
      <c r="AQ131" s="64"/>
      <c r="AR131" s="73"/>
      <c r="AS131" s="73"/>
      <c r="AT131" s="63"/>
      <c r="AU131" s="23"/>
      <c r="AV131" s="64"/>
      <c r="AW131" s="64"/>
      <c r="AX131" s="64"/>
      <c r="AY131" s="63"/>
      <c r="AZ131" s="23"/>
      <c r="BA131" s="64"/>
      <c r="BB131" s="148"/>
      <c r="BC131" s="148"/>
      <c r="BD131" s="149"/>
      <c r="BE131" s="23"/>
      <c r="BF131" s="64"/>
      <c r="BG131" s="148"/>
      <c r="BH131" s="148"/>
      <c r="BI131" s="149"/>
      <c r="BJ131" s="23"/>
      <c r="BK131" s="293"/>
      <c r="BL131" s="293">
        <f>BL128-BK128</f>
        <v>4</v>
      </c>
      <c r="BM131" s="293">
        <f>BM128-BL128</f>
        <v>8</v>
      </c>
      <c r="BN131" s="293">
        <f>BN128-BM128</f>
        <v>8</v>
      </c>
      <c r="BO131" s="289">
        <f>BO128-BJ128</f>
        <v>28</v>
      </c>
      <c r="BP131" s="293">
        <f>BP128-BN128</f>
        <v>6</v>
      </c>
      <c r="BQ131" s="293">
        <f>BQ128-BP128</f>
        <v>4</v>
      </c>
      <c r="BR131" s="293">
        <f>BR128-BQ128</f>
        <v>5</v>
      </c>
      <c r="BS131" s="293">
        <f>BS128-BR128</f>
        <v>5</v>
      </c>
      <c r="BT131" s="289">
        <f>BT128-BO128</f>
        <v>20</v>
      </c>
    </row>
    <row r="132" spans="1:72" ht="11.25" customHeight="1">
      <c r="A132" s="62"/>
      <c r="B132" s="23"/>
      <c r="C132" s="64"/>
      <c r="D132" s="64"/>
      <c r="E132" s="64"/>
      <c r="F132" s="64"/>
      <c r="G132" s="23"/>
      <c r="H132" s="64"/>
      <c r="I132" s="64"/>
      <c r="J132" s="64"/>
      <c r="K132" s="63"/>
      <c r="L132" s="23"/>
      <c r="M132" s="64"/>
      <c r="N132" s="64"/>
      <c r="O132" s="64"/>
      <c r="P132" s="63"/>
      <c r="Q132" s="23"/>
      <c r="R132" s="64"/>
      <c r="S132" s="64"/>
      <c r="T132" s="64"/>
      <c r="U132" s="63"/>
      <c r="V132" s="23"/>
      <c r="W132" s="64"/>
      <c r="X132" s="64"/>
      <c r="Y132" s="64"/>
      <c r="Z132" s="63"/>
      <c r="AA132" s="23"/>
      <c r="AB132" s="64"/>
      <c r="AC132" s="64"/>
      <c r="AD132" s="64"/>
      <c r="AE132" s="63"/>
      <c r="AF132" s="23"/>
      <c r="AG132" s="64"/>
      <c r="AH132" s="64"/>
      <c r="AI132" s="64"/>
      <c r="AJ132" s="63"/>
      <c r="AK132" s="23"/>
      <c r="AL132" s="64"/>
      <c r="AM132" s="73"/>
      <c r="AN132" s="73"/>
      <c r="AO132" s="63"/>
      <c r="AP132" s="23"/>
      <c r="AQ132" s="64"/>
      <c r="AR132" s="73"/>
      <c r="AS132" s="73"/>
      <c r="AT132" s="63"/>
      <c r="AU132" s="23"/>
      <c r="AV132" s="64"/>
      <c r="AW132" s="64"/>
      <c r="AX132" s="64"/>
      <c r="AY132" s="63"/>
      <c r="AZ132" s="23"/>
      <c r="BA132" s="64"/>
      <c r="BB132" s="148"/>
      <c r="BC132" s="148"/>
      <c r="BD132" s="149"/>
      <c r="BE132" s="23"/>
      <c r="BF132" s="64"/>
      <c r="BG132" s="148"/>
      <c r="BH132" s="148"/>
      <c r="BI132" s="149"/>
      <c r="BJ132" s="23"/>
      <c r="BK132" s="293"/>
      <c r="BL132" s="293"/>
      <c r="BM132" s="293"/>
      <c r="BN132" s="293"/>
      <c r="BO132" s="289"/>
      <c r="BP132" s="293"/>
      <c r="BQ132" s="293"/>
      <c r="BR132" s="293"/>
      <c r="BS132" s="293"/>
      <c r="BT132" s="289"/>
    </row>
    <row r="133" spans="1:72" ht="11.25" customHeight="1">
      <c r="A133" s="60" t="s">
        <v>397</v>
      </c>
      <c r="B133" s="23"/>
      <c r="C133" s="64"/>
      <c r="D133" s="64"/>
      <c r="E133" s="64"/>
      <c r="F133" s="64"/>
      <c r="G133" s="23"/>
      <c r="H133" s="64"/>
      <c r="I133" s="64"/>
      <c r="J133" s="64"/>
      <c r="K133" s="63"/>
      <c r="L133" s="23"/>
      <c r="M133" s="64"/>
      <c r="N133" s="64"/>
      <c r="O133" s="64"/>
      <c r="P133" s="63"/>
      <c r="Q133" s="23"/>
      <c r="R133" s="64"/>
      <c r="S133" s="64"/>
      <c r="T133" s="64"/>
      <c r="U133" s="63"/>
      <c r="V133" s="86" t="s">
        <v>38</v>
      </c>
      <c r="W133" s="86" t="s">
        <v>38</v>
      </c>
      <c r="X133" s="86" t="s">
        <v>38</v>
      </c>
      <c r="Y133" s="86" t="s">
        <v>38</v>
      </c>
      <c r="Z133" s="86" t="s">
        <v>38</v>
      </c>
      <c r="AA133" s="86" t="s">
        <v>38</v>
      </c>
      <c r="AB133" s="86" t="s">
        <v>38</v>
      </c>
      <c r="AC133" s="86" t="s">
        <v>38</v>
      </c>
      <c r="AD133" s="86" t="s">
        <v>38</v>
      </c>
      <c r="AE133" s="86" t="s">
        <v>38</v>
      </c>
      <c r="AF133" s="86" t="s">
        <v>38</v>
      </c>
      <c r="AG133" s="86" t="s">
        <v>38</v>
      </c>
      <c r="AH133" s="86" t="s">
        <v>38</v>
      </c>
      <c r="AI133" s="86" t="s">
        <v>38</v>
      </c>
      <c r="AJ133" s="86" t="s">
        <v>38</v>
      </c>
      <c r="AK133" s="86" t="s">
        <v>38</v>
      </c>
      <c r="AL133" s="86" t="s">
        <v>38</v>
      </c>
      <c r="AM133" s="86" t="s">
        <v>38</v>
      </c>
      <c r="AN133" s="86" t="s">
        <v>38</v>
      </c>
      <c r="AO133" s="86" t="s">
        <v>38</v>
      </c>
      <c r="AP133" s="86" t="s">
        <v>38</v>
      </c>
      <c r="AQ133" s="86" t="s">
        <v>38</v>
      </c>
      <c r="AR133" s="86" t="s">
        <v>38</v>
      </c>
      <c r="AS133" s="86" t="s">
        <v>38</v>
      </c>
      <c r="AT133" s="86" t="s">
        <v>38</v>
      </c>
      <c r="AU133" s="86" t="s">
        <v>38</v>
      </c>
      <c r="AV133" s="86" t="s">
        <v>38</v>
      </c>
      <c r="AW133" s="86" t="s">
        <v>38</v>
      </c>
      <c r="AX133" s="86" t="s">
        <v>38</v>
      </c>
      <c r="AY133" s="86" t="s">
        <v>38</v>
      </c>
      <c r="AZ133" s="86" t="s">
        <v>38</v>
      </c>
      <c r="BA133" s="86" t="s">
        <v>38</v>
      </c>
      <c r="BB133" s="86" t="s">
        <v>38</v>
      </c>
      <c r="BC133" s="86" t="s">
        <v>38</v>
      </c>
      <c r="BD133" s="86" t="s">
        <v>38</v>
      </c>
      <c r="BE133" s="86" t="s">
        <v>38</v>
      </c>
      <c r="BF133" s="86" t="s">
        <v>38</v>
      </c>
      <c r="BG133" s="86" t="s">
        <v>38</v>
      </c>
      <c r="BH133" s="86" t="s">
        <v>38</v>
      </c>
      <c r="BI133" s="86" t="s">
        <v>38</v>
      </c>
      <c r="BJ133" s="196">
        <v>40</v>
      </c>
      <c r="BK133" s="60">
        <v>53</v>
      </c>
      <c r="BL133" s="34">
        <v>72</v>
      </c>
      <c r="BM133" s="34">
        <v>94</v>
      </c>
      <c r="BN133" s="131">
        <v>120</v>
      </c>
      <c r="BO133" s="196">
        <v>120</v>
      </c>
      <c r="BP133" s="60">
        <v>147</v>
      </c>
      <c r="BQ133" s="34">
        <v>173</v>
      </c>
      <c r="BR133" s="34">
        <v>198</v>
      </c>
      <c r="BS133" s="131">
        <v>226</v>
      </c>
      <c r="BT133" s="196">
        <v>226</v>
      </c>
    </row>
    <row r="134" spans="1:72" ht="11.25" customHeight="1">
      <c r="A134" s="62" t="s">
        <v>7</v>
      </c>
      <c r="B134" s="23"/>
      <c r="C134" s="64"/>
      <c r="D134" s="64"/>
      <c r="E134" s="64"/>
      <c r="F134" s="64"/>
      <c r="G134" s="23"/>
      <c r="H134" s="64"/>
      <c r="I134" s="64"/>
      <c r="J134" s="64"/>
      <c r="K134" s="63"/>
      <c r="L134" s="23"/>
      <c r="M134" s="64"/>
      <c r="N134" s="64"/>
      <c r="O134" s="64"/>
      <c r="P134" s="63"/>
      <c r="Q134" s="23"/>
      <c r="R134" s="64"/>
      <c r="S134" s="64"/>
      <c r="T134" s="64"/>
      <c r="U134" s="63"/>
      <c r="V134" s="23"/>
      <c r="W134" s="64"/>
      <c r="X134" s="64"/>
      <c r="Y134" s="64"/>
      <c r="Z134" s="63"/>
      <c r="AA134" s="23"/>
      <c r="AB134" s="64"/>
      <c r="AC134" s="64"/>
      <c r="AD134" s="64"/>
      <c r="AE134" s="63"/>
      <c r="AF134" s="23"/>
      <c r="AG134" s="64"/>
      <c r="AH134" s="64"/>
      <c r="AI134" s="64"/>
      <c r="AJ134" s="63"/>
      <c r="AK134" s="23"/>
      <c r="AL134" s="64"/>
      <c r="AM134" s="73"/>
      <c r="AN134" s="73"/>
      <c r="AO134" s="63"/>
      <c r="AP134" s="23"/>
      <c r="AQ134" s="64"/>
      <c r="AR134" s="73"/>
      <c r="AS134" s="73"/>
      <c r="AT134" s="63"/>
      <c r="AU134" s="23"/>
      <c r="AV134" s="64"/>
      <c r="AW134" s="64"/>
      <c r="AX134" s="64"/>
      <c r="AY134" s="63"/>
      <c r="AZ134" s="23"/>
      <c r="BA134" s="64"/>
      <c r="BB134" s="148"/>
      <c r="BC134" s="148"/>
      <c r="BD134" s="149"/>
      <c r="BE134" s="23"/>
      <c r="BF134" s="64"/>
      <c r="BG134" s="148"/>
      <c r="BH134" s="148"/>
      <c r="BI134" s="149"/>
      <c r="BJ134" s="23"/>
      <c r="BK134" s="63"/>
      <c r="BL134" s="149">
        <f>BL133/BK133-1</f>
        <v>0.35849056603773577</v>
      </c>
      <c r="BM134" s="149">
        <f>BM133/BL133-1</f>
        <v>0.30555555555555558</v>
      </c>
      <c r="BN134" s="149">
        <f>BN133/BM133-1</f>
        <v>0.27659574468085113</v>
      </c>
      <c r="BO134" s="26"/>
      <c r="BP134" s="63">
        <f>BP133/BN133-1</f>
        <v>0.22500000000000009</v>
      </c>
      <c r="BQ134" s="149">
        <f>BQ133/BP133-1</f>
        <v>0.1768707482993197</v>
      </c>
      <c r="BR134" s="149">
        <f>BR133/BQ133-1</f>
        <v>0.1445086705202312</v>
      </c>
      <c r="BS134" s="149">
        <f>BS133/BR133-1</f>
        <v>0.14141414141414144</v>
      </c>
      <c r="BT134" s="26"/>
    </row>
    <row r="135" spans="1:72" ht="11.25" customHeight="1">
      <c r="A135" s="62" t="s">
        <v>8</v>
      </c>
      <c r="B135" s="23"/>
      <c r="C135" s="64"/>
      <c r="D135" s="64"/>
      <c r="E135" s="64"/>
      <c r="F135" s="64"/>
      <c r="G135" s="23"/>
      <c r="H135" s="64"/>
      <c r="I135" s="64"/>
      <c r="J135" s="64"/>
      <c r="K135" s="63"/>
      <c r="L135" s="23"/>
      <c r="M135" s="64"/>
      <c r="N135" s="64"/>
      <c r="O135" s="64"/>
      <c r="P135" s="63"/>
      <c r="Q135" s="23"/>
      <c r="R135" s="64"/>
      <c r="S135" s="64"/>
      <c r="T135" s="64"/>
      <c r="U135" s="63"/>
      <c r="V135" s="23"/>
      <c r="W135" s="64"/>
      <c r="X135" s="64"/>
      <c r="Y135" s="64"/>
      <c r="Z135" s="63"/>
      <c r="AA135" s="23"/>
      <c r="AB135" s="64"/>
      <c r="AC135" s="64"/>
      <c r="AD135" s="64"/>
      <c r="AE135" s="63"/>
      <c r="AF135" s="23"/>
      <c r="AG135" s="64"/>
      <c r="AH135" s="64"/>
      <c r="AI135" s="64"/>
      <c r="AJ135" s="63"/>
      <c r="AK135" s="23"/>
      <c r="AL135" s="64"/>
      <c r="AM135" s="73"/>
      <c r="AN135" s="73"/>
      <c r="AO135" s="63"/>
      <c r="AP135" s="23"/>
      <c r="AQ135" s="64"/>
      <c r="AR135" s="73"/>
      <c r="AS135" s="73"/>
      <c r="AT135" s="63"/>
      <c r="AU135" s="23"/>
      <c r="AV135" s="64"/>
      <c r="AW135" s="64"/>
      <c r="AX135" s="64"/>
      <c r="AY135" s="63"/>
      <c r="AZ135" s="23"/>
      <c r="BA135" s="64"/>
      <c r="BB135" s="148"/>
      <c r="BC135" s="148"/>
      <c r="BD135" s="149"/>
      <c r="BE135" s="23"/>
      <c r="BF135" s="64"/>
      <c r="BG135" s="148"/>
      <c r="BH135" s="148"/>
      <c r="BI135" s="149"/>
      <c r="BJ135" s="23"/>
      <c r="BK135" s="64"/>
      <c r="BL135" s="148"/>
      <c r="BM135" s="148"/>
      <c r="BN135" s="149"/>
      <c r="BO135" s="23">
        <f t="shared" ref="BO135:BT135" si="56">BO133/BJ133-1</f>
        <v>2</v>
      </c>
      <c r="BP135" s="64">
        <f t="shared" si="56"/>
        <v>1.7735849056603774</v>
      </c>
      <c r="BQ135" s="148">
        <f t="shared" si="56"/>
        <v>1.4027777777777777</v>
      </c>
      <c r="BR135" s="148">
        <f t="shared" si="56"/>
        <v>1.1063829787234041</v>
      </c>
      <c r="BS135" s="149">
        <f t="shared" si="56"/>
        <v>0.8833333333333333</v>
      </c>
      <c r="BT135" s="23">
        <f t="shared" si="56"/>
        <v>0.8833333333333333</v>
      </c>
    </row>
    <row r="136" spans="1:72" ht="11.25" customHeight="1">
      <c r="A136" s="62" t="s">
        <v>156</v>
      </c>
      <c r="B136" s="23"/>
      <c r="C136" s="64"/>
      <c r="D136" s="64"/>
      <c r="E136" s="64"/>
      <c r="F136" s="64"/>
      <c r="G136" s="23"/>
      <c r="H136" s="64"/>
      <c r="I136" s="64"/>
      <c r="J136" s="64"/>
      <c r="K136" s="63"/>
      <c r="L136" s="23"/>
      <c r="M136" s="64"/>
      <c r="N136" s="64"/>
      <c r="O136" s="64"/>
      <c r="P136" s="63"/>
      <c r="Q136" s="23"/>
      <c r="R136" s="64"/>
      <c r="S136" s="64"/>
      <c r="T136" s="64"/>
      <c r="U136" s="63"/>
      <c r="V136" s="23"/>
      <c r="W136" s="64"/>
      <c r="X136" s="64"/>
      <c r="Y136" s="64"/>
      <c r="Z136" s="63"/>
      <c r="AA136" s="23"/>
      <c r="AB136" s="64"/>
      <c r="AC136" s="64"/>
      <c r="AD136" s="64"/>
      <c r="AE136" s="63"/>
      <c r="AF136" s="23"/>
      <c r="AG136" s="64"/>
      <c r="AH136" s="64"/>
      <c r="AI136" s="64"/>
      <c r="AJ136" s="63"/>
      <c r="AK136" s="23"/>
      <c r="AL136" s="64"/>
      <c r="AM136" s="73"/>
      <c r="AN136" s="73"/>
      <c r="AO136" s="63"/>
      <c r="AP136" s="23"/>
      <c r="AQ136" s="64"/>
      <c r="AR136" s="73"/>
      <c r="AS136" s="73"/>
      <c r="AT136" s="63"/>
      <c r="AU136" s="23"/>
      <c r="AV136" s="64"/>
      <c r="AW136" s="64"/>
      <c r="AX136" s="64"/>
      <c r="AY136" s="63"/>
      <c r="AZ136" s="23"/>
      <c r="BA136" s="64"/>
      <c r="BB136" s="148"/>
      <c r="BC136" s="148"/>
      <c r="BD136" s="149"/>
      <c r="BE136" s="23"/>
      <c r="BF136" s="64"/>
      <c r="BG136" s="148"/>
      <c r="BH136" s="148"/>
      <c r="BI136" s="149"/>
      <c r="BJ136" s="23"/>
      <c r="BK136" s="293"/>
      <c r="BL136" s="293">
        <f>BL133-BK133</f>
        <v>19</v>
      </c>
      <c r="BM136" s="293">
        <f>BM133-BL133</f>
        <v>22</v>
      </c>
      <c r="BN136" s="293">
        <f>BN133-BM133</f>
        <v>26</v>
      </c>
      <c r="BO136" s="289">
        <f>BO133-BJ133</f>
        <v>80</v>
      </c>
      <c r="BP136" s="293">
        <f>BP133-BN133</f>
        <v>27</v>
      </c>
      <c r="BQ136" s="293">
        <f>BQ133-BP133</f>
        <v>26</v>
      </c>
      <c r="BR136" s="293">
        <f>BR133-BQ133</f>
        <v>25</v>
      </c>
      <c r="BS136" s="293">
        <f>BS133-BR133</f>
        <v>28</v>
      </c>
      <c r="BT136" s="289">
        <f>BT133-BO133</f>
        <v>106</v>
      </c>
    </row>
    <row r="137" spans="1:72" ht="11.25" customHeight="1">
      <c r="A137" s="62" t="s">
        <v>399</v>
      </c>
      <c r="B137" s="23"/>
      <c r="C137" s="64"/>
      <c r="D137" s="64"/>
      <c r="E137" s="64"/>
      <c r="F137" s="64"/>
      <c r="G137" s="23"/>
      <c r="H137" s="64"/>
      <c r="I137" s="64"/>
      <c r="J137" s="64"/>
      <c r="K137" s="63"/>
      <c r="L137" s="23"/>
      <c r="M137" s="64"/>
      <c r="N137" s="64"/>
      <c r="O137" s="64"/>
      <c r="P137" s="63"/>
      <c r="Q137" s="23"/>
      <c r="R137" s="64"/>
      <c r="S137" s="64"/>
      <c r="T137" s="64"/>
      <c r="U137" s="63"/>
      <c r="V137" s="23"/>
      <c r="W137" s="64"/>
      <c r="X137" s="64"/>
      <c r="Y137" s="64"/>
      <c r="Z137" s="63"/>
      <c r="AA137" s="23"/>
      <c r="AB137" s="64"/>
      <c r="AC137" s="64"/>
      <c r="AD137" s="64"/>
      <c r="AE137" s="63"/>
      <c r="AF137" s="23"/>
      <c r="AG137" s="64"/>
      <c r="AH137" s="64"/>
      <c r="AI137" s="64"/>
      <c r="AJ137" s="63"/>
      <c r="AK137" s="23"/>
      <c r="AL137" s="64"/>
      <c r="AM137" s="73"/>
      <c r="AN137" s="73"/>
      <c r="AO137" s="63"/>
      <c r="AP137" s="23"/>
      <c r="AQ137" s="64"/>
      <c r="AR137" s="73"/>
      <c r="AS137" s="73"/>
      <c r="AT137" s="63"/>
      <c r="AU137" s="23"/>
      <c r="AV137" s="64"/>
      <c r="AW137" s="64"/>
      <c r="AX137" s="64"/>
      <c r="AY137" s="63"/>
      <c r="AZ137" s="23"/>
      <c r="BA137" s="64"/>
      <c r="BB137" s="148"/>
      <c r="BC137" s="148"/>
      <c r="BD137" s="149"/>
      <c r="BE137" s="23"/>
      <c r="BF137" s="64"/>
      <c r="BG137" s="148"/>
      <c r="BH137" s="148"/>
      <c r="BI137" s="149"/>
      <c r="BJ137" s="23"/>
      <c r="BK137" s="64">
        <f t="shared" ref="BK137:BT137" si="57">BK133/BK118</f>
        <v>9.5323741007194249E-2</v>
      </c>
      <c r="BL137" s="64">
        <f t="shared" si="57"/>
        <v>0.12926391382405744</v>
      </c>
      <c r="BM137" s="64">
        <f t="shared" si="57"/>
        <v>0.16906474820143885</v>
      </c>
      <c r="BN137" s="64">
        <f t="shared" si="57"/>
        <v>0.21543985637342908</v>
      </c>
      <c r="BO137" s="23">
        <f t="shared" si="57"/>
        <v>0.21543985637342908</v>
      </c>
      <c r="BP137" s="64">
        <f t="shared" si="57"/>
        <v>0.2629695885509839</v>
      </c>
      <c r="BQ137" s="64">
        <f t="shared" si="57"/>
        <v>0.30892857142857144</v>
      </c>
      <c r="BR137" s="64">
        <f t="shared" si="57"/>
        <v>0.35357142857142859</v>
      </c>
      <c r="BS137" s="64">
        <f t="shared" si="57"/>
        <v>0.40142095914742454</v>
      </c>
      <c r="BT137" s="23">
        <f t="shared" si="57"/>
        <v>0.40142095914742454</v>
      </c>
    </row>
    <row r="138" spans="1:72">
      <c r="A138" s="60" t="s">
        <v>265</v>
      </c>
      <c r="B138" s="36">
        <v>217</v>
      </c>
      <c r="C138" s="60">
        <v>231</v>
      </c>
      <c r="D138" s="60">
        <v>230</v>
      </c>
      <c r="E138" s="60">
        <v>226</v>
      </c>
      <c r="F138" s="60">
        <v>225</v>
      </c>
      <c r="G138" s="36">
        <v>228</v>
      </c>
      <c r="H138" s="60">
        <v>228</v>
      </c>
      <c r="I138" s="60">
        <v>224</v>
      </c>
      <c r="J138" s="60">
        <v>224</v>
      </c>
      <c r="K138" s="61">
        <v>229</v>
      </c>
      <c r="L138" s="27">
        <v>226</v>
      </c>
      <c r="M138" s="60">
        <v>229</v>
      </c>
      <c r="N138" s="60">
        <v>231</v>
      </c>
      <c r="O138" s="60">
        <v>229</v>
      </c>
      <c r="P138" s="61">
        <v>231</v>
      </c>
      <c r="Q138" s="27">
        <v>230</v>
      </c>
      <c r="R138" s="60">
        <v>234</v>
      </c>
      <c r="S138" s="60">
        <v>232</v>
      </c>
      <c r="T138" s="60">
        <v>232</v>
      </c>
      <c r="U138" s="61">
        <v>229</v>
      </c>
      <c r="V138" s="27">
        <v>232</v>
      </c>
      <c r="W138" s="60">
        <v>237</v>
      </c>
      <c r="X138" s="60">
        <v>234</v>
      </c>
      <c r="Y138" s="60">
        <v>231</v>
      </c>
      <c r="Z138" s="61">
        <v>234</v>
      </c>
      <c r="AA138" s="27">
        <v>234</v>
      </c>
      <c r="AB138" s="60">
        <v>233</v>
      </c>
      <c r="AC138" s="60">
        <v>232</v>
      </c>
      <c r="AD138" s="60">
        <v>233</v>
      </c>
      <c r="AE138" s="61">
        <v>233</v>
      </c>
      <c r="AF138" s="27">
        <v>233</v>
      </c>
      <c r="AG138" s="60">
        <v>234</v>
      </c>
      <c r="AH138" s="60">
        <v>234</v>
      </c>
      <c r="AI138" s="60">
        <v>234</v>
      </c>
      <c r="AJ138" s="61">
        <v>234</v>
      </c>
      <c r="AK138" s="27">
        <v>234</v>
      </c>
      <c r="AL138" s="60">
        <v>232</v>
      </c>
      <c r="AM138" s="60">
        <v>231</v>
      </c>
      <c r="AN138" s="60">
        <v>233</v>
      </c>
      <c r="AO138" s="61">
        <v>235</v>
      </c>
      <c r="AP138" s="27">
        <v>233</v>
      </c>
      <c r="AQ138" s="60">
        <v>231</v>
      </c>
      <c r="AR138" s="60">
        <v>231</v>
      </c>
      <c r="AS138" s="60">
        <v>233</v>
      </c>
      <c r="AT138" s="61">
        <v>237</v>
      </c>
      <c r="AU138" s="27">
        <v>233</v>
      </c>
      <c r="AV138" s="60">
        <v>232</v>
      </c>
      <c r="AW138" s="60">
        <v>229</v>
      </c>
      <c r="AX138" s="60">
        <v>226</v>
      </c>
      <c r="AY138" s="61">
        <v>226</v>
      </c>
      <c r="AZ138" s="27">
        <v>228</v>
      </c>
      <c r="BA138" s="60">
        <v>214</v>
      </c>
      <c r="BB138" s="34">
        <v>215</v>
      </c>
      <c r="BC138" s="34">
        <v>210</v>
      </c>
      <c r="BD138" s="131">
        <v>206</v>
      </c>
      <c r="BE138" s="196">
        <v>211</v>
      </c>
      <c r="BF138" s="60">
        <v>200</v>
      </c>
      <c r="BG138" s="34">
        <v>197</v>
      </c>
      <c r="BH138" s="34">
        <v>195</v>
      </c>
      <c r="BI138" s="131">
        <v>195</v>
      </c>
      <c r="BJ138" s="196">
        <v>197</v>
      </c>
      <c r="BK138" s="60">
        <v>195</v>
      </c>
      <c r="BL138" s="34">
        <v>190</v>
      </c>
      <c r="BM138" s="34">
        <v>187</v>
      </c>
      <c r="BN138" s="131">
        <v>186</v>
      </c>
      <c r="BO138" s="196">
        <v>190</v>
      </c>
      <c r="BP138" s="60">
        <v>187</v>
      </c>
      <c r="BQ138" s="34">
        <v>186</v>
      </c>
      <c r="BR138" s="34">
        <v>188</v>
      </c>
      <c r="BS138" s="131">
        <v>190</v>
      </c>
      <c r="BT138" s="196">
        <v>188</v>
      </c>
    </row>
    <row r="139" spans="1:72" ht="10.5" customHeight="1">
      <c r="A139" s="62" t="s">
        <v>7</v>
      </c>
      <c r="B139" s="23"/>
      <c r="C139" s="63"/>
      <c r="D139" s="63">
        <f>D138/C138-1</f>
        <v>-4.3290043290042934E-3</v>
      </c>
      <c r="E139" s="63">
        <f>E138/D138-1</f>
        <v>-1.7391304347826098E-2</v>
      </c>
      <c r="F139" s="63">
        <f>F138/E138-1</f>
        <v>-4.4247787610619538E-3</v>
      </c>
      <c r="G139" s="23"/>
      <c r="H139" s="63">
        <f>H138/F138-1</f>
        <v>1.3333333333333419E-2</v>
      </c>
      <c r="I139" s="63">
        <f>I138/H138-1</f>
        <v>-1.7543859649122862E-2</v>
      </c>
      <c r="J139" s="63">
        <f>J138/I138-1</f>
        <v>0</v>
      </c>
      <c r="K139" s="63">
        <f>K138/J138-1</f>
        <v>2.2321428571428603E-2</v>
      </c>
      <c r="L139" s="26"/>
      <c r="M139" s="63">
        <f>M138/K138-1</f>
        <v>0</v>
      </c>
      <c r="N139" s="63">
        <f>N138/M138-1</f>
        <v>8.733624454148492E-3</v>
      </c>
      <c r="O139" s="63">
        <f>O138/N138-1</f>
        <v>-8.6580086580086979E-3</v>
      </c>
      <c r="P139" s="63">
        <f>P138/O138-1</f>
        <v>8.733624454148492E-3</v>
      </c>
      <c r="Q139" s="26"/>
      <c r="R139" s="63">
        <f>R138/P138-1</f>
        <v>1.298701298701288E-2</v>
      </c>
      <c r="S139" s="63">
        <f>S138/R138-1</f>
        <v>-8.5470085470085166E-3</v>
      </c>
      <c r="T139" s="63">
        <f>T138/S138-1</f>
        <v>0</v>
      </c>
      <c r="U139" s="63">
        <f>U138/T138-1</f>
        <v>-1.2931034482758674E-2</v>
      </c>
      <c r="V139" s="26"/>
      <c r="W139" s="63">
        <f>W138/U138-1</f>
        <v>3.4934497816593968E-2</v>
      </c>
      <c r="X139" s="63">
        <f>X138/W138-1</f>
        <v>-1.2658227848101222E-2</v>
      </c>
      <c r="Y139" s="63">
        <f>Y138/X138-1</f>
        <v>-1.2820512820512775E-2</v>
      </c>
      <c r="Z139" s="63">
        <f>Z138/Y138-1</f>
        <v>1.298701298701288E-2</v>
      </c>
      <c r="AA139" s="26"/>
      <c r="AB139" s="63">
        <f>AB138/Z138-1</f>
        <v>-4.2735042735042583E-3</v>
      </c>
      <c r="AC139" s="63">
        <f>AC138/AB138-1</f>
        <v>-4.2918454935622075E-3</v>
      </c>
      <c r="AD139" s="63">
        <f>AD138/AC138-1</f>
        <v>4.3103448275862988E-3</v>
      </c>
      <c r="AE139" s="63">
        <f>AE138/AD138-1</f>
        <v>0</v>
      </c>
      <c r="AF139" s="26"/>
      <c r="AG139" s="63">
        <f>AG138/AE138-1</f>
        <v>4.2918454935623185E-3</v>
      </c>
      <c r="AH139" s="63">
        <f>AH138/AG138-1</f>
        <v>0</v>
      </c>
      <c r="AI139" s="63">
        <f>AI138/AH138-1</f>
        <v>0</v>
      </c>
      <c r="AJ139" s="63">
        <f>AJ138/AI138-1</f>
        <v>0</v>
      </c>
      <c r="AK139" s="26"/>
      <c r="AL139" s="63">
        <f>AL138/AJ138-1</f>
        <v>-8.5470085470085166E-3</v>
      </c>
      <c r="AM139" s="63">
        <f>AM138/AL138-1</f>
        <v>-4.3103448275861878E-3</v>
      </c>
      <c r="AN139" s="63">
        <f>AN138/AM138-1</f>
        <v>8.6580086580085869E-3</v>
      </c>
      <c r="AO139" s="63">
        <f>AO138/AN138-1</f>
        <v>8.5836909871244149E-3</v>
      </c>
      <c r="AP139" s="26"/>
      <c r="AQ139" s="63">
        <f>AQ138/AO138-1</f>
        <v>-1.7021276595744705E-2</v>
      </c>
      <c r="AR139" s="63">
        <f>AR138/AQ138-1</f>
        <v>0</v>
      </c>
      <c r="AS139" s="63">
        <f>AS138/AR138-1</f>
        <v>8.6580086580085869E-3</v>
      </c>
      <c r="AT139" s="63">
        <f>AT138/AS138-1</f>
        <v>1.716738197424883E-2</v>
      </c>
      <c r="AU139" s="26"/>
      <c r="AV139" s="63">
        <f>AV138/AT138-1</f>
        <v>-2.1097046413502074E-2</v>
      </c>
      <c r="AW139" s="63">
        <f>AW138/AV138-1</f>
        <v>-1.2931034482758674E-2</v>
      </c>
      <c r="AX139" s="63">
        <f>AX138/AW138-1</f>
        <v>-1.3100436681222738E-2</v>
      </c>
      <c r="AY139" s="63">
        <f>AY138/AX138-1</f>
        <v>0</v>
      </c>
      <c r="AZ139" s="26"/>
      <c r="BA139" s="63">
        <f>BA138/AY138-1</f>
        <v>-5.3097345132743334E-2</v>
      </c>
      <c r="BB139" s="149">
        <f>BB138/BA138-1</f>
        <v>4.6728971962617383E-3</v>
      </c>
      <c r="BC139" s="149">
        <f>BC138/BB138-1</f>
        <v>-2.3255813953488413E-2</v>
      </c>
      <c r="BD139" s="149">
        <f>BD138/BC138-1</f>
        <v>-1.9047619047619091E-2</v>
      </c>
      <c r="BE139" s="26"/>
      <c r="BF139" s="63">
        <f>BF138/BD138-1</f>
        <v>-2.9126213592232997E-2</v>
      </c>
      <c r="BG139" s="149">
        <f>BG138/BF138-1</f>
        <v>-1.5000000000000013E-2</v>
      </c>
      <c r="BH139" s="149">
        <f>BH138/BG138-1</f>
        <v>-1.0152284263959421E-2</v>
      </c>
      <c r="BI139" s="149">
        <f>BI138/BH138-1</f>
        <v>0</v>
      </c>
      <c r="BJ139" s="26"/>
      <c r="BK139" s="63">
        <f>BK138/BI138-1</f>
        <v>0</v>
      </c>
      <c r="BL139" s="149">
        <f>BL138/BK138-1</f>
        <v>-2.5641025641025661E-2</v>
      </c>
      <c r="BM139" s="149">
        <f>BM138/BL138-1</f>
        <v>-1.5789473684210575E-2</v>
      </c>
      <c r="BN139" s="149">
        <f>BN138/BM138-1</f>
        <v>-5.3475935828877219E-3</v>
      </c>
      <c r="BO139" s="26"/>
      <c r="BP139" s="63">
        <f>BP138/BN138-1</f>
        <v>5.3763440860215006E-3</v>
      </c>
      <c r="BQ139" s="149">
        <f>BQ138/BP138-1</f>
        <v>-5.3475935828877219E-3</v>
      </c>
      <c r="BR139" s="149">
        <f>BR138/BQ138-1</f>
        <v>1.0752688172043001E-2</v>
      </c>
      <c r="BS139" s="149">
        <f>BS138/BR138-1</f>
        <v>1.0638297872340496E-2</v>
      </c>
      <c r="BT139" s="26"/>
    </row>
    <row r="140" spans="1:72">
      <c r="A140" s="62" t="s">
        <v>8</v>
      </c>
      <c r="B140" s="23"/>
      <c r="C140" s="64"/>
      <c r="D140" s="64"/>
      <c r="E140" s="64"/>
      <c r="F140" s="64"/>
      <c r="G140" s="23">
        <f t="shared" ref="G140:N140" si="58">G138/B138-1</f>
        <v>5.0691244239631228E-2</v>
      </c>
      <c r="H140" s="64">
        <f t="shared" si="58"/>
        <v>-1.2987012987012991E-2</v>
      </c>
      <c r="I140" s="64">
        <f t="shared" si="58"/>
        <v>-2.6086956521739091E-2</v>
      </c>
      <c r="J140" s="64">
        <f t="shared" si="58"/>
        <v>-8.8495575221239076E-3</v>
      </c>
      <c r="K140" s="63">
        <f t="shared" si="58"/>
        <v>1.777777777777767E-2</v>
      </c>
      <c r="L140" s="23">
        <f t="shared" si="58"/>
        <v>-8.7719298245614308E-3</v>
      </c>
      <c r="M140" s="64">
        <f t="shared" si="58"/>
        <v>4.3859649122806044E-3</v>
      </c>
      <c r="N140" s="64">
        <f t="shared" si="58"/>
        <v>3.125E-2</v>
      </c>
      <c r="O140" s="64">
        <f t="shared" ref="O140:Y140" si="59">O138/J138-1</f>
        <v>2.2321428571428603E-2</v>
      </c>
      <c r="P140" s="63">
        <f t="shared" si="59"/>
        <v>8.733624454148492E-3</v>
      </c>
      <c r="Q140" s="23">
        <f t="shared" si="59"/>
        <v>1.7699115044247815E-2</v>
      </c>
      <c r="R140" s="64">
        <f t="shared" si="59"/>
        <v>2.1834061135371119E-2</v>
      </c>
      <c r="S140" s="64">
        <f t="shared" si="59"/>
        <v>4.3290043290042934E-3</v>
      </c>
      <c r="T140" s="64">
        <f t="shared" si="59"/>
        <v>1.3100436681222627E-2</v>
      </c>
      <c r="U140" s="63">
        <f t="shared" si="59"/>
        <v>-8.6580086580086979E-3</v>
      </c>
      <c r="V140" s="23">
        <f t="shared" si="59"/>
        <v>8.6956521739129933E-3</v>
      </c>
      <c r="W140" s="64">
        <f t="shared" si="59"/>
        <v>1.2820512820512775E-2</v>
      </c>
      <c r="X140" s="64">
        <f t="shared" si="59"/>
        <v>8.6206896551723755E-3</v>
      </c>
      <c r="Y140" s="64">
        <f t="shared" si="59"/>
        <v>-4.3103448275861878E-3</v>
      </c>
      <c r="Z140" s="63">
        <f>Z138/U138-1</f>
        <v>2.1834061135371119E-2</v>
      </c>
      <c r="AA140" s="23">
        <v>0.01</v>
      </c>
      <c r="AB140" s="64">
        <f t="shared" ref="AB140:AI140" si="60">AB138/W138-1</f>
        <v>-1.6877637130801704E-2</v>
      </c>
      <c r="AC140" s="64">
        <f t="shared" si="60"/>
        <v>-8.5470085470085166E-3</v>
      </c>
      <c r="AD140" s="64">
        <f t="shared" si="60"/>
        <v>8.6580086580085869E-3</v>
      </c>
      <c r="AE140" s="63">
        <f t="shared" si="60"/>
        <v>-4.2735042735042583E-3</v>
      </c>
      <c r="AF140" s="23">
        <f t="shared" si="60"/>
        <v>-4.2735042735042583E-3</v>
      </c>
      <c r="AG140" s="64">
        <f t="shared" si="60"/>
        <v>4.2918454935623185E-3</v>
      </c>
      <c r="AH140" s="64">
        <f t="shared" si="60"/>
        <v>8.6206896551723755E-3</v>
      </c>
      <c r="AI140" s="64">
        <f t="shared" si="60"/>
        <v>4.2918454935623185E-3</v>
      </c>
      <c r="AJ140" s="63">
        <f t="shared" ref="AJ140:AS140" si="61">AJ138/AE138-1</f>
        <v>4.2918454935623185E-3</v>
      </c>
      <c r="AK140" s="23">
        <f t="shared" si="61"/>
        <v>4.2918454935623185E-3</v>
      </c>
      <c r="AL140" s="64">
        <f t="shared" si="61"/>
        <v>-8.5470085470085166E-3</v>
      </c>
      <c r="AM140" s="64">
        <f t="shared" si="61"/>
        <v>-1.2820512820512775E-2</v>
      </c>
      <c r="AN140" s="64">
        <f t="shared" si="61"/>
        <v>-4.2735042735042583E-3</v>
      </c>
      <c r="AO140" s="63">
        <f t="shared" si="61"/>
        <v>4.2735042735042583E-3</v>
      </c>
      <c r="AP140" s="23">
        <f t="shared" si="61"/>
        <v>-4.2735042735042583E-3</v>
      </c>
      <c r="AQ140" s="64">
        <f t="shared" si="61"/>
        <v>-4.3103448275861878E-3</v>
      </c>
      <c r="AR140" s="64">
        <f t="shared" si="61"/>
        <v>0</v>
      </c>
      <c r="AS140" s="64">
        <f t="shared" si="61"/>
        <v>0</v>
      </c>
      <c r="AT140" s="63">
        <f t="shared" ref="AT140:BT140" si="62">AT138/AO138-1</f>
        <v>8.5106382978723527E-3</v>
      </c>
      <c r="AU140" s="23">
        <f t="shared" si="62"/>
        <v>0</v>
      </c>
      <c r="AV140" s="64">
        <f t="shared" si="62"/>
        <v>4.3290043290042934E-3</v>
      </c>
      <c r="AW140" s="64">
        <f t="shared" si="62"/>
        <v>-8.6580086580086979E-3</v>
      </c>
      <c r="AX140" s="64">
        <f t="shared" si="62"/>
        <v>-3.0042918454935674E-2</v>
      </c>
      <c r="AY140" s="63">
        <f t="shared" si="62"/>
        <v>-4.641350210970463E-2</v>
      </c>
      <c r="AZ140" s="23">
        <f t="shared" si="62"/>
        <v>-2.1459227467811148E-2</v>
      </c>
      <c r="BA140" s="64">
        <f t="shared" si="62"/>
        <v>-7.7586206896551713E-2</v>
      </c>
      <c r="BB140" s="148">
        <f t="shared" si="62"/>
        <v>-6.1135371179039333E-2</v>
      </c>
      <c r="BC140" s="148">
        <f t="shared" si="62"/>
        <v>-7.0796460176991149E-2</v>
      </c>
      <c r="BD140" s="149">
        <f t="shared" si="62"/>
        <v>-8.8495575221238965E-2</v>
      </c>
      <c r="BE140" s="23">
        <f t="shared" si="62"/>
        <v>-7.456140350877194E-2</v>
      </c>
      <c r="BF140" s="64">
        <f t="shared" si="62"/>
        <v>-6.5420560747663559E-2</v>
      </c>
      <c r="BG140" s="148">
        <f t="shared" si="62"/>
        <v>-8.3720930232558111E-2</v>
      </c>
      <c r="BH140" s="148">
        <f t="shared" si="62"/>
        <v>-7.1428571428571397E-2</v>
      </c>
      <c r="BI140" s="149">
        <f t="shared" si="62"/>
        <v>-5.3398058252427161E-2</v>
      </c>
      <c r="BJ140" s="23">
        <f t="shared" si="62"/>
        <v>-6.6350710900473953E-2</v>
      </c>
      <c r="BK140" s="64">
        <f t="shared" si="62"/>
        <v>-2.5000000000000022E-2</v>
      </c>
      <c r="BL140" s="148">
        <f t="shared" si="62"/>
        <v>-3.5532994923857864E-2</v>
      </c>
      <c r="BM140" s="148">
        <f t="shared" si="62"/>
        <v>-4.1025641025640991E-2</v>
      </c>
      <c r="BN140" s="149">
        <f t="shared" si="62"/>
        <v>-4.6153846153846101E-2</v>
      </c>
      <c r="BO140" s="23">
        <f t="shared" si="62"/>
        <v>-3.5532994923857864E-2</v>
      </c>
      <c r="BP140" s="64">
        <f t="shared" si="62"/>
        <v>-4.1025641025640991E-2</v>
      </c>
      <c r="BQ140" s="148">
        <f t="shared" si="62"/>
        <v>-2.1052631578947323E-2</v>
      </c>
      <c r="BR140" s="148">
        <f t="shared" si="62"/>
        <v>5.3475935828877219E-3</v>
      </c>
      <c r="BS140" s="149">
        <f t="shared" si="62"/>
        <v>2.1505376344086002E-2</v>
      </c>
      <c r="BT140" s="23">
        <f t="shared" si="62"/>
        <v>-1.0526315789473717E-2</v>
      </c>
    </row>
    <row r="141" spans="1:72">
      <c r="A141" s="62"/>
      <c r="B141" s="23"/>
      <c r="C141" s="64"/>
      <c r="D141" s="64"/>
      <c r="E141" s="64"/>
      <c r="F141" s="64"/>
      <c r="G141" s="23"/>
      <c r="H141" s="64"/>
      <c r="I141" s="64"/>
      <c r="J141" s="64"/>
      <c r="K141" s="63"/>
      <c r="L141" s="23"/>
      <c r="M141" s="64"/>
      <c r="N141" s="64"/>
      <c r="O141" s="64"/>
      <c r="P141" s="63"/>
      <c r="Q141" s="23"/>
      <c r="R141" s="64"/>
      <c r="S141" s="64"/>
      <c r="T141" s="64"/>
      <c r="U141" s="63"/>
      <c r="V141" s="23"/>
      <c r="W141" s="64"/>
      <c r="X141" s="64"/>
      <c r="Y141" s="64"/>
      <c r="Z141" s="63"/>
      <c r="AA141" s="23"/>
      <c r="AB141" s="64"/>
      <c r="AC141" s="64"/>
      <c r="AD141" s="64"/>
      <c r="AE141" s="63"/>
      <c r="AF141" s="23"/>
      <c r="AG141" s="64"/>
      <c r="AH141" s="64"/>
      <c r="AI141" s="64"/>
      <c r="AJ141" s="63"/>
      <c r="AK141" s="23"/>
      <c r="AL141" s="64"/>
      <c r="AM141" s="64"/>
      <c r="AN141" s="64"/>
      <c r="AO141" s="63"/>
      <c r="AP141" s="23"/>
      <c r="AQ141" s="64"/>
      <c r="AR141" s="64"/>
      <c r="AS141" s="64"/>
      <c r="AT141" s="63"/>
      <c r="AU141" s="23"/>
      <c r="AV141" s="64"/>
      <c r="AW141" s="64"/>
      <c r="AX141" s="64"/>
      <c r="AY141" s="63"/>
      <c r="AZ141" s="23"/>
      <c r="BA141" s="64"/>
      <c r="BB141" s="148"/>
      <c r="BC141" s="148"/>
      <c r="BD141" s="149"/>
      <c r="BE141" s="23"/>
      <c r="BF141" s="64"/>
      <c r="BG141" s="148"/>
      <c r="BH141" s="148"/>
      <c r="BI141" s="149"/>
      <c r="BJ141" s="23"/>
      <c r="BK141" s="64"/>
      <c r="BL141" s="148"/>
      <c r="BM141" s="148"/>
      <c r="BN141" s="149"/>
      <c r="BO141" s="23"/>
      <c r="BP141" s="64"/>
      <c r="BQ141" s="148"/>
      <c r="BR141" s="148"/>
      <c r="BS141" s="149"/>
      <c r="BT141" s="23"/>
    </row>
    <row r="142" spans="1:72">
      <c r="A142" s="60" t="s">
        <v>124</v>
      </c>
      <c r="B142" s="86" t="s">
        <v>38</v>
      </c>
      <c r="C142" s="70" t="s">
        <v>38</v>
      </c>
      <c r="D142" s="70" t="s">
        <v>38</v>
      </c>
      <c r="E142" s="70" t="s">
        <v>38</v>
      </c>
      <c r="F142" s="70" t="s">
        <v>38</v>
      </c>
      <c r="G142" s="86" t="s">
        <v>38</v>
      </c>
      <c r="H142" s="80">
        <v>3.6999999999999998E-2</v>
      </c>
      <c r="I142" s="80">
        <v>3.1E-2</v>
      </c>
      <c r="J142" s="80">
        <v>3.3000000000000002E-2</v>
      </c>
      <c r="K142" s="80">
        <v>3.2000000000000001E-2</v>
      </c>
      <c r="L142" s="37">
        <v>0.13300000000000001</v>
      </c>
      <c r="M142" s="80">
        <v>3.5000000000000003E-2</v>
      </c>
      <c r="N142" s="80">
        <v>3.1E-2</v>
      </c>
      <c r="O142" s="80">
        <v>3.3000000000000002E-2</v>
      </c>
      <c r="P142" s="80">
        <v>3.1E-2</v>
      </c>
      <c r="Q142" s="37">
        <v>0.13</v>
      </c>
      <c r="R142" s="80">
        <v>3.3000000000000002E-2</v>
      </c>
      <c r="S142" s="80">
        <v>2.9000000000000001E-2</v>
      </c>
      <c r="T142" s="80">
        <v>2.8000000000000001E-2</v>
      </c>
      <c r="U142" s="80">
        <v>2.8000000000000001E-2</v>
      </c>
      <c r="V142" s="37">
        <v>0.11899999999999999</v>
      </c>
      <c r="W142" s="80">
        <v>3.5999999999999997E-2</v>
      </c>
      <c r="X142" s="80">
        <v>3.9E-2</v>
      </c>
      <c r="Y142" s="80">
        <v>4.1000000000000002E-2</v>
      </c>
      <c r="Z142" s="80">
        <v>3.7999999999999999E-2</v>
      </c>
      <c r="AA142" s="127">
        <v>0.154</v>
      </c>
      <c r="AB142" s="80">
        <v>3.7999999999999999E-2</v>
      </c>
      <c r="AC142" s="80">
        <v>3.2000000000000001E-2</v>
      </c>
      <c r="AD142" s="80">
        <v>3.4000000000000002E-2</v>
      </c>
      <c r="AE142" s="80">
        <v>0.03</v>
      </c>
      <c r="AF142" s="127">
        <v>0.13500000000000001</v>
      </c>
      <c r="AG142" s="80">
        <v>3.5999999999999997E-2</v>
      </c>
      <c r="AH142" s="80">
        <v>3.1E-2</v>
      </c>
      <c r="AI142" s="80">
        <v>3.2000000000000001E-2</v>
      </c>
      <c r="AJ142" s="80">
        <v>2.9000000000000001E-2</v>
      </c>
      <c r="AK142" s="127">
        <v>0.128</v>
      </c>
      <c r="AL142" s="150">
        <v>3.4000000000000002E-2</v>
      </c>
      <c r="AM142" s="80">
        <v>3.1E-2</v>
      </c>
      <c r="AN142" s="80">
        <v>3.9E-2</v>
      </c>
      <c r="AO142" s="80">
        <v>3.5000000000000003E-2</v>
      </c>
      <c r="AP142" s="127">
        <v>0.13900000000000001</v>
      </c>
      <c r="AQ142" s="150">
        <v>4.2000000000000003E-2</v>
      </c>
      <c r="AR142" s="80">
        <v>3.5999999999999997E-2</v>
      </c>
      <c r="AS142" s="80">
        <v>4.4999999999999998E-2</v>
      </c>
      <c r="AT142" s="80">
        <f>AU142-AS142-AR142-AQ142</f>
        <v>3.6000000000000011E-2</v>
      </c>
      <c r="AU142" s="127">
        <v>0.159</v>
      </c>
      <c r="AV142" s="150">
        <v>4.2999999999999997E-2</v>
      </c>
      <c r="AW142" s="150">
        <v>3.7999999999999999E-2</v>
      </c>
      <c r="AX142" s="150">
        <v>4.8000000000000001E-2</v>
      </c>
      <c r="AY142" s="80">
        <v>5.8999999999999997E-2</v>
      </c>
      <c r="AZ142" s="127">
        <v>0.188</v>
      </c>
      <c r="BA142" s="150">
        <v>6.0999999999999999E-2</v>
      </c>
      <c r="BB142" s="150">
        <v>4.7E-2</v>
      </c>
      <c r="BC142" s="150">
        <v>5.0999999999999997E-2</v>
      </c>
      <c r="BD142" s="150">
        <f>BE142-BC142-BB142-BA142</f>
        <v>5.6000000000000008E-2</v>
      </c>
      <c r="BE142" s="127">
        <v>0.215</v>
      </c>
      <c r="BF142" s="150">
        <v>5.6000000000000001E-2</v>
      </c>
      <c r="BG142" s="150">
        <v>4.9000000000000002E-2</v>
      </c>
      <c r="BH142" s="150">
        <v>5.5E-2</v>
      </c>
      <c r="BI142" s="150">
        <f>BJ142-BF142-BG142-BH142</f>
        <v>5.1999999999999998E-2</v>
      </c>
      <c r="BJ142" s="127">
        <v>0.21199999999999999</v>
      </c>
      <c r="BK142" s="150">
        <v>5.8999999999999997E-2</v>
      </c>
      <c r="BL142" s="150">
        <v>4.8000000000000001E-2</v>
      </c>
      <c r="BM142" s="150">
        <v>5.3999999999999999E-2</v>
      </c>
      <c r="BN142" s="150">
        <f>BO142-BK142-BL142-BM142</f>
        <v>4.8999999999999995E-2</v>
      </c>
      <c r="BO142" s="127">
        <v>0.21</v>
      </c>
      <c r="BP142" s="150">
        <v>4.2999999999999997E-2</v>
      </c>
      <c r="BQ142" s="150">
        <v>3.6999999999999998E-2</v>
      </c>
      <c r="BR142" s="150">
        <v>3.6999999999999998E-2</v>
      </c>
      <c r="BS142" s="150">
        <f>BT142-BP142-BQ142-BR142</f>
        <v>3.4000000000000009E-2</v>
      </c>
      <c r="BT142" s="127">
        <v>0.151</v>
      </c>
    </row>
    <row r="143" spans="1:72" ht="13.5" customHeight="1">
      <c r="A143" s="60"/>
      <c r="B143" s="86"/>
      <c r="C143" s="70"/>
      <c r="D143" s="70"/>
      <c r="E143" s="70"/>
      <c r="F143" s="70"/>
      <c r="G143" s="86"/>
      <c r="H143" s="80"/>
      <c r="I143" s="80"/>
      <c r="J143" s="80"/>
      <c r="K143" s="80"/>
      <c r="L143" s="37"/>
      <c r="M143" s="80"/>
      <c r="N143" s="80"/>
      <c r="O143" s="80"/>
      <c r="P143" s="80"/>
      <c r="Q143" s="37"/>
      <c r="R143" s="80"/>
      <c r="S143" s="80"/>
      <c r="T143" s="80"/>
      <c r="U143" s="80"/>
      <c r="V143" s="37"/>
      <c r="W143" s="80"/>
      <c r="X143" s="80"/>
      <c r="Y143" s="80"/>
      <c r="Z143" s="80"/>
      <c r="AA143" s="26"/>
      <c r="AB143" s="80"/>
      <c r="AC143" s="80"/>
      <c r="AD143" s="80"/>
      <c r="AE143" s="80"/>
      <c r="AF143" s="26"/>
      <c r="AG143" s="80"/>
      <c r="AH143" s="80"/>
      <c r="AI143" s="80"/>
      <c r="AJ143" s="80"/>
      <c r="AK143" s="26"/>
      <c r="AL143" s="80"/>
      <c r="AM143" s="80"/>
      <c r="AN143" s="80"/>
      <c r="AO143" s="80"/>
      <c r="AP143" s="26"/>
      <c r="AQ143" s="80"/>
      <c r="AR143" s="80"/>
      <c r="AS143" s="80"/>
      <c r="AT143" s="80"/>
      <c r="AU143" s="26"/>
      <c r="AV143" s="80"/>
      <c r="AW143" s="80"/>
      <c r="AX143" s="80"/>
      <c r="AY143" s="80"/>
      <c r="AZ143" s="26"/>
      <c r="BA143" s="80"/>
      <c r="BB143" s="80"/>
      <c r="BC143" s="80"/>
      <c r="BD143" s="80"/>
      <c r="BE143" s="26"/>
      <c r="BF143" s="80"/>
      <c r="BG143" s="80"/>
      <c r="BH143" s="80"/>
      <c r="BI143" s="80"/>
      <c r="BJ143" s="26"/>
      <c r="BK143" s="80"/>
      <c r="BL143" s="80"/>
      <c r="BM143" s="80"/>
      <c r="BN143" s="80"/>
      <c r="BO143" s="26"/>
      <c r="BP143" s="80"/>
      <c r="BQ143" s="80"/>
      <c r="BR143" s="80"/>
      <c r="BS143" s="80"/>
      <c r="BT143" s="26"/>
    </row>
    <row r="144" spans="1:72">
      <c r="A144" s="60" t="s">
        <v>17</v>
      </c>
      <c r="B144" s="86" t="s">
        <v>38</v>
      </c>
      <c r="C144" s="70"/>
      <c r="D144" s="70"/>
      <c r="E144" s="70"/>
      <c r="F144" s="70"/>
      <c r="G144" s="126">
        <v>1999</v>
      </c>
      <c r="H144" s="80"/>
      <c r="I144" s="80"/>
      <c r="J144" s="80"/>
      <c r="K144" s="80"/>
      <c r="L144" s="126">
        <v>2158</v>
      </c>
      <c r="M144" s="80"/>
      <c r="N144" s="80"/>
      <c r="O144" s="80"/>
      <c r="P144" s="80"/>
      <c r="Q144" s="126">
        <v>2229</v>
      </c>
      <c r="R144" s="106" t="s">
        <v>35</v>
      </c>
      <c r="S144" s="106" t="s">
        <v>35</v>
      </c>
      <c r="T144" s="106" t="s">
        <v>35</v>
      </c>
      <c r="U144" s="106" t="s">
        <v>35</v>
      </c>
      <c r="V144" s="126">
        <v>2227</v>
      </c>
      <c r="W144" s="106" t="s">
        <v>35</v>
      </c>
      <c r="X144" s="106" t="s">
        <v>35</v>
      </c>
      <c r="Y144" s="106" t="s">
        <v>35</v>
      </c>
      <c r="Z144" s="106" t="s">
        <v>35</v>
      </c>
      <c r="AA144" s="126">
        <v>2276</v>
      </c>
      <c r="AB144" s="106" t="s">
        <v>35</v>
      </c>
      <c r="AC144" s="106" t="s">
        <v>35</v>
      </c>
      <c r="AD144" s="106" t="s">
        <v>35</v>
      </c>
      <c r="AE144" s="106" t="s">
        <v>35</v>
      </c>
      <c r="AF144" s="126">
        <v>2208</v>
      </c>
      <c r="AG144" s="106" t="s">
        <v>35</v>
      </c>
      <c r="AH144" s="106" t="s">
        <v>35</v>
      </c>
      <c r="AI144" s="106" t="s">
        <v>35</v>
      </c>
      <c r="AJ144" s="61">
        <v>2042</v>
      </c>
      <c r="AK144" s="126">
        <v>2042</v>
      </c>
      <c r="AL144" s="106" t="s">
        <v>35</v>
      </c>
      <c r="AM144" s="106" t="s">
        <v>35</v>
      </c>
      <c r="AN144" s="106" t="s">
        <v>35</v>
      </c>
      <c r="AO144" s="61">
        <v>1984</v>
      </c>
      <c r="AP144" s="126">
        <v>1984</v>
      </c>
      <c r="AQ144" s="106" t="s">
        <v>35</v>
      </c>
      <c r="AR144" s="106" t="s">
        <v>35</v>
      </c>
      <c r="AS144" s="106" t="s">
        <v>35</v>
      </c>
      <c r="AT144" s="61">
        <v>1753</v>
      </c>
      <c r="AU144" s="126">
        <v>1753</v>
      </c>
      <c r="AV144" s="106" t="s">
        <v>35</v>
      </c>
      <c r="AW144" s="106" t="s">
        <v>35</v>
      </c>
      <c r="AX144" s="106" t="s">
        <v>35</v>
      </c>
      <c r="AY144" s="61">
        <v>1680</v>
      </c>
      <c r="AZ144" s="126">
        <v>1680</v>
      </c>
      <c r="BA144" s="106" t="s">
        <v>35</v>
      </c>
      <c r="BB144" s="106" t="s">
        <v>35</v>
      </c>
      <c r="BC144" s="106" t="s">
        <v>35</v>
      </c>
      <c r="BD144" s="61">
        <v>1532</v>
      </c>
      <c r="BE144" s="126">
        <v>1539</v>
      </c>
      <c r="BF144" s="106" t="s">
        <v>35</v>
      </c>
      <c r="BG144" s="61">
        <v>1350</v>
      </c>
      <c r="BH144" s="106" t="s">
        <v>35</v>
      </c>
      <c r="BI144" s="61">
        <f>BJ144</f>
        <v>1335</v>
      </c>
      <c r="BJ144" s="126">
        <v>1335</v>
      </c>
      <c r="BK144" s="106" t="s">
        <v>35</v>
      </c>
      <c r="BL144" s="106" t="s">
        <v>35</v>
      </c>
      <c r="BM144" s="106" t="s">
        <v>35</v>
      </c>
      <c r="BN144" s="61">
        <f>BO144</f>
        <v>1229</v>
      </c>
      <c r="BO144" s="126">
        <v>1229</v>
      </c>
      <c r="BP144" s="106" t="s">
        <v>35</v>
      </c>
      <c r="BQ144" s="106" t="s">
        <v>35</v>
      </c>
      <c r="BR144" s="106" t="s">
        <v>35</v>
      </c>
      <c r="BS144" s="61">
        <f>BT144</f>
        <v>1094</v>
      </c>
      <c r="BT144" s="126">
        <v>1094</v>
      </c>
    </row>
    <row r="145" spans="1:202" ht="12.75" customHeight="1">
      <c r="A145" s="62" t="s">
        <v>8</v>
      </c>
      <c r="B145" s="23"/>
      <c r="C145" s="64"/>
      <c r="D145" s="64"/>
      <c r="E145" s="64"/>
      <c r="F145" s="64"/>
      <c r="G145" s="23"/>
      <c r="H145" s="64"/>
      <c r="I145" s="64"/>
      <c r="J145" s="64"/>
      <c r="K145" s="63"/>
      <c r="L145" s="23">
        <f>L144/G144-1</f>
        <v>7.9539769884942491E-2</v>
      </c>
      <c r="M145" s="64"/>
      <c r="N145" s="64"/>
      <c r="O145" s="64"/>
      <c r="P145" s="63"/>
      <c r="Q145" s="23">
        <f>Q144/L144-1</f>
        <v>3.2900834105653365E-2</v>
      </c>
      <c r="R145" s="64"/>
      <c r="S145" s="64"/>
      <c r="T145" s="64"/>
      <c r="U145" s="63"/>
      <c r="V145" s="23">
        <f>V144/Q144-1</f>
        <v>-8.9726334679229858E-4</v>
      </c>
      <c r="W145" s="64"/>
      <c r="X145" s="64"/>
      <c r="Y145" s="64"/>
      <c r="Z145" s="63"/>
      <c r="AA145" s="23">
        <f>AA144/V144-1</f>
        <v>2.2002694207454043E-2</v>
      </c>
      <c r="AB145" s="64"/>
      <c r="AC145" s="64"/>
      <c r="AD145" s="64"/>
      <c r="AE145" s="63"/>
      <c r="AF145" s="23">
        <f>AF144/AA144-1</f>
        <v>-2.9876977152899831E-2</v>
      </c>
      <c r="AG145" s="64"/>
      <c r="AH145" s="64"/>
      <c r="AI145" s="64"/>
      <c r="AJ145" s="63"/>
      <c r="AK145" s="23">
        <f>AK144/AF144-1</f>
        <v>-7.51811594202898E-2</v>
      </c>
      <c r="AL145" s="64"/>
      <c r="AM145" s="64"/>
      <c r="AN145" s="64"/>
      <c r="AO145" s="63"/>
      <c r="AP145" s="23">
        <f>AP144/AK144-1</f>
        <v>-2.8403525954946107E-2</v>
      </c>
      <c r="AQ145" s="64"/>
      <c r="AR145" s="64"/>
      <c r="AS145" s="64"/>
      <c r="AT145" s="63"/>
      <c r="AU145" s="23">
        <f>AU144/AP144-1</f>
        <v>-0.11643145161290325</v>
      </c>
      <c r="AV145" s="64"/>
      <c r="AW145" s="64"/>
      <c r="AX145" s="64"/>
      <c r="AY145" s="63"/>
      <c r="AZ145" s="23">
        <f>AZ144/AU144-1</f>
        <v>-4.164289788933262E-2</v>
      </c>
      <c r="BA145" s="64"/>
      <c r="BB145" s="64"/>
      <c r="BC145" s="64"/>
      <c r="BD145" s="63"/>
      <c r="BE145" s="23">
        <f>BE144/AZ144-1</f>
        <v>-8.3928571428571463E-2</v>
      </c>
      <c r="BF145" s="64"/>
      <c r="BG145" s="64"/>
      <c r="BH145" s="64"/>
      <c r="BI145" s="63"/>
      <c r="BJ145" s="23">
        <f>BJ144/BE144-1</f>
        <v>-0.13255360623781676</v>
      </c>
      <c r="BK145" s="64"/>
      <c r="BL145" s="64"/>
      <c r="BM145" s="64"/>
      <c r="BN145" s="63"/>
      <c r="BO145" s="23">
        <f>BO144/BJ144-1</f>
        <v>-7.940074906367045E-2</v>
      </c>
      <c r="BP145" s="64"/>
      <c r="BQ145" s="64"/>
      <c r="BR145" s="64"/>
      <c r="BS145" s="63"/>
      <c r="BT145" s="23">
        <f>BT144/BO144-1</f>
        <v>-0.10984540276647681</v>
      </c>
    </row>
    <row r="146" spans="1:202" ht="12.75" customHeight="1">
      <c r="A146" s="62"/>
      <c r="B146" s="23"/>
      <c r="C146" s="64"/>
      <c r="D146" s="64"/>
      <c r="E146" s="64"/>
      <c r="F146" s="64"/>
      <c r="G146" s="23"/>
      <c r="H146" s="64"/>
      <c r="I146" s="64"/>
      <c r="J146" s="64"/>
      <c r="K146" s="63"/>
      <c r="L146" s="23"/>
      <c r="M146" s="64"/>
      <c r="N146" s="64"/>
      <c r="O146" s="64"/>
      <c r="P146" s="63"/>
      <c r="Q146" s="23"/>
      <c r="R146" s="64"/>
      <c r="S146" s="64"/>
      <c r="T146" s="64"/>
      <c r="U146" s="63"/>
      <c r="V146" s="23"/>
      <c r="W146" s="64"/>
      <c r="X146" s="64"/>
      <c r="Y146" s="64"/>
      <c r="Z146" s="63"/>
      <c r="AA146" s="23"/>
      <c r="AB146" s="64"/>
      <c r="AC146" s="64"/>
      <c r="AD146" s="64"/>
      <c r="AE146" s="63"/>
      <c r="AF146" s="23"/>
      <c r="AG146" s="64"/>
      <c r="AH146" s="64"/>
      <c r="AI146" s="64"/>
      <c r="AJ146" s="63"/>
      <c r="AK146" s="23"/>
      <c r="AL146" s="64"/>
      <c r="AM146" s="64"/>
      <c r="AN146" s="64"/>
      <c r="AO146" s="63"/>
      <c r="AP146" s="23"/>
      <c r="AQ146" s="64"/>
      <c r="AR146" s="64"/>
      <c r="AS146" s="64"/>
      <c r="AT146" s="63"/>
      <c r="AU146" s="23"/>
      <c r="AV146" s="64"/>
      <c r="AW146" s="64"/>
      <c r="AX146" s="64"/>
      <c r="AY146" s="63"/>
      <c r="AZ146" s="23"/>
      <c r="BA146" s="64"/>
      <c r="BB146" s="64"/>
      <c r="BC146" s="64"/>
      <c r="BD146" s="63"/>
      <c r="BE146" s="23"/>
      <c r="BF146" s="64"/>
      <c r="BG146" s="64"/>
      <c r="BH146" s="64"/>
      <c r="BI146" s="63"/>
      <c r="BJ146" s="23"/>
      <c r="BK146" s="64"/>
      <c r="BL146" s="64"/>
      <c r="BM146" s="64"/>
      <c r="BN146" s="63"/>
      <c r="BO146" s="23"/>
      <c r="BP146" s="64"/>
      <c r="BQ146" s="64"/>
      <c r="BR146" s="64"/>
      <c r="BS146" s="63"/>
      <c r="BT146" s="23"/>
    </row>
    <row r="147" spans="1:202" s="152" customFormat="1" ht="14.25" customHeight="1">
      <c r="A147" s="60" t="s">
        <v>121</v>
      </c>
      <c r="B147" s="151">
        <v>0.37</v>
      </c>
      <c r="C147" s="64"/>
      <c r="D147" s="64"/>
      <c r="E147" s="64"/>
      <c r="F147" s="64"/>
      <c r="G147" s="151">
        <v>0.38</v>
      </c>
      <c r="H147" s="151"/>
      <c r="I147" s="151"/>
      <c r="J147" s="151"/>
      <c r="K147" s="151"/>
      <c r="L147" s="151">
        <v>0.38</v>
      </c>
      <c r="M147" s="151"/>
      <c r="N147" s="151"/>
      <c r="O147" s="151"/>
      <c r="P147" s="151"/>
      <c r="Q147" s="151">
        <v>0.39</v>
      </c>
      <c r="R147" s="151"/>
      <c r="S147" s="151"/>
      <c r="T147" s="151"/>
      <c r="U147" s="151"/>
      <c r="V147" s="151">
        <v>0.4</v>
      </c>
      <c r="W147" s="151"/>
      <c r="X147" s="151"/>
      <c r="Y147" s="151"/>
      <c r="Z147" s="151"/>
      <c r="AA147" s="151">
        <v>0.39</v>
      </c>
      <c r="AB147" s="64"/>
      <c r="AC147" s="64"/>
      <c r="AD147" s="64"/>
      <c r="AE147" s="64"/>
      <c r="AF147" s="151">
        <v>0.4</v>
      </c>
      <c r="AG147" s="106" t="s">
        <v>35</v>
      </c>
      <c r="AH147" s="106" t="s">
        <v>35</v>
      </c>
      <c r="AI147" s="106" t="s">
        <v>35</v>
      </c>
      <c r="AJ147" s="106" t="s">
        <v>35</v>
      </c>
      <c r="AK147" s="151">
        <v>0.42</v>
      </c>
      <c r="AL147" s="106" t="s">
        <v>35</v>
      </c>
      <c r="AM147" s="106" t="s">
        <v>35</v>
      </c>
      <c r="AN147" s="106" t="s">
        <v>35</v>
      </c>
      <c r="AO147" s="106" t="s">
        <v>35</v>
      </c>
      <c r="AP147" s="151">
        <v>0.42</v>
      </c>
      <c r="AQ147" s="106" t="s">
        <v>35</v>
      </c>
      <c r="AR147" s="106" t="s">
        <v>35</v>
      </c>
      <c r="AS147" s="106" t="s">
        <v>35</v>
      </c>
      <c r="AT147" s="106" t="s">
        <v>35</v>
      </c>
      <c r="AU147" s="151">
        <v>0.4</v>
      </c>
      <c r="AV147" s="106" t="s">
        <v>35</v>
      </c>
      <c r="AW147" s="106" t="s">
        <v>35</v>
      </c>
      <c r="AX147" s="106" t="s">
        <v>35</v>
      </c>
      <c r="AY147" s="106" t="s">
        <v>35</v>
      </c>
      <c r="AZ147" s="151">
        <v>0.37</v>
      </c>
      <c r="BA147" s="106" t="s">
        <v>35</v>
      </c>
      <c r="BB147" s="106" t="s">
        <v>35</v>
      </c>
      <c r="BC147" s="106" t="s">
        <v>35</v>
      </c>
      <c r="BD147" s="106" t="s">
        <v>35</v>
      </c>
      <c r="BE147" s="151">
        <v>0.34</v>
      </c>
      <c r="BF147" s="106" t="s">
        <v>35</v>
      </c>
      <c r="BG147" s="106" t="s">
        <v>35</v>
      </c>
      <c r="BH147" s="106" t="s">
        <v>35</v>
      </c>
      <c r="BI147" s="106" t="s">
        <v>35</v>
      </c>
      <c r="BJ147" s="151">
        <v>0.32</v>
      </c>
      <c r="BK147" s="106" t="s">
        <v>35</v>
      </c>
      <c r="BL147" s="106" t="s">
        <v>35</v>
      </c>
      <c r="BM147" s="106" t="s">
        <v>35</v>
      </c>
      <c r="BN147" s="106" t="s">
        <v>35</v>
      </c>
      <c r="BO147" s="151">
        <v>0.32</v>
      </c>
      <c r="BP147" s="106" t="s">
        <v>35</v>
      </c>
      <c r="BQ147" s="106" t="s">
        <v>35</v>
      </c>
      <c r="BR147" s="106" t="s">
        <v>35</v>
      </c>
      <c r="BS147" s="106" t="s">
        <v>35</v>
      </c>
      <c r="BT147" s="151">
        <v>0.32</v>
      </c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</row>
    <row r="148" spans="1:202" ht="3" customHeight="1">
      <c r="A148" s="83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</row>
    <row r="149" spans="1:202">
      <c r="A149" s="207"/>
      <c r="BI149" s="1"/>
      <c r="BJ149" s="1"/>
    </row>
    <row r="150" spans="1:202">
      <c r="BI150" s="1"/>
      <c r="BJ150" s="1"/>
    </row>
    <row r="151" spans="1:202">
      <c r="BI151" s="1"/>
      <c r="BJ151" s="1"/>
    </row>
    <row r="152" spans="1:202">
      <c r="BI152" s="1"/>
      <c r="BJ152" s="1"/>
    </row>
    <row r="153" spans="1:202">
      <c r="BI153" s="1"/>
      <c r="BJ153" s="1"/>
    </row>
    <row r="154" spans="1:202">
      <c r="BI154" s="1"/>
      <c r="BJ154" s="1"/>
    </row>
    <row r="155" spans="1:202">
      <c r="BI155" s="1"/>
      <c r="BJ155" s="1"/>
    </row>
    <row r="156" spans="1:202">
      <c r="BI156" s="1"/>
      <c r="BJ156" s="1"/>
    </row>
    <row r="157" spans="1:202">
      <c r="BI157" s="1"/>
      <c r="BJ157" s="1"/>
    </row>
    <row r="158" spans="1:202">
      <c r="BI158" s="1"/>
      <c r="BJ158" s="1"/>
    </row>
    <row r="159" spans="1:202">
      <c r="BI159" s="1"/>
      <c r="BJ159" s="1"/>
    </row>
    <row r="160" spans="1:202">
      <c r="BI160" s="1"/>
      <c r="BJ160" s="1"/>
    </row>
    <row r="161" spans="61:62">
      <c r="BI161" s="1"/>
      <c r="BJ161" s="1"/>
    </row>
    <row r="162" spans="61:62">
      <c r="BI162" s="1"/>
      <c r="BJ162" s="1"/>
    </row>
    <row r="163" spans="61:62">
      <c r="BI163" s="1"/>
      <c r="BJ163" s="1"/>
    </row>
    <row r="164" spans="61:62">
      <c r="BI164" s="1"/>
      <c r="BJ164" s="1"/>
    </row>
    <row r="165" spans="61:62">
      <c r="BI165" s="1"/>
      <c r="BJ165" s="1"/>
    </row>
    <row r="166" spans="61:62">
      <c r="BI166" s="1"/>
      <c r="BJ166" s="1"/>
    </row>
    <row r="167" spans="61:62">
      <c r="BI167" s="1"/>
      <c r="BJ167" s="1"/>
    </row>
    <row r="168" spans="61:62">
      <c r="BI168" s="1"/>
      <c r="BJ168" s="1"/>
    </row>
    <row r="169" spans="61:62">
      <c r="BI169" s="1"/>
      <c r="BJ169" s="1"/>
    </row>
    <row r="170" spans="61:62">
      <c r="BI170" s="1"/>
      <c r="BJ170" s="1"/>
    </row>
    <row r="171" spans="61:62">
      <c r="BI171" s="1"/>
      <c r="BJ171" s="1"/>
    </row>
    <row r="172" spans="61:62">
      <c r="BI172" s="1"/>
      <c r="BJ172" s="1"/>
    </row>
    <row r="173" spans="61:62">
      <c r="BI173" s="1"/>
      <c r="BJ173" s="1"/>
    </row>
    <row r="174" spans="61:62">
      <c r="BI174" s="1"/>
      <c r="BJ174" s="1"/>
    </row>
    <row r="175" spans="61:62">
      <c r="BI175" s="1"/>
      <c r="BJ175" s="1"/>
    </row>
    <row r="176" spans="61:62">
      <c r="BI176" s="1"/>
      <c r="BJ176" s="1"/>
    </row>
    <row r="177" spans="3:62">
      <c r="BI177" s="1"/>
      <c r="BJ177" s="1"/>
    </row>
    <row r="178" spans="3:62">
      <c r="N178" s="1">
        <v>340</v>
      </c>
      <c r="O178" s="1">
        <v>347.37700000000001</v>
      </c>
      <c r="BI178" s="1"/>
      <c r="BJ178" s="1"/>
    </row>
    <row r="179" spans="3:62">
      <c r="BI179" s="1"/>
      <c r="BJ179" s="1"/>
    </row>
    <row r="180" spans="3:62">
      <c r="BI180" s="1"/>
      <c r="BJ180" s="1"/>
    </row>
    <row r="181" spans="3:62">
      <c r="BI181" s="1"/>
      <c r="BJ181" s="1"/>
    </row>
    <row r="182" spans="3:62">
      <c r="BI182" s="1"/>
      <c r="BJ182" s="1"/>
    </row>
    <row r="183" spans="3:62">
      <c r="BI183" s="1"/>
      <c r="BJ183" s="1"/>
    </row>
    <row r="184" spans="3:62" customFormat="1"/>
    <row r="185" spans="3:62" customFormat="1"/>
    <row r="186" spans="3:62" customFormat="1"/>
    <row r="187" spans="3:62"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C187"/>
      <c r="BD187"/>
      <c r="BE187"/>
      <c r="BI187"/>
      <c r="BJ187"/>
    </row>
    <row r="188" spans="3:62"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C188"/>
      <c r="BD188"/>
      <c r="BE188"/>
      <c r="BI188"/>
      <c r="BJ188"/>
    </row>
    <row r="189" spans="3:62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C189"/>
      <c r="BD189"/>
      <c r="BE189"/>
      <c r="BI189"/>
      <c r="BJ189"/>
    </row>
    <row r="190" spans="3:62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C190"/>
      <c r="BD190"/>
      <c r="BE190"/>
      <c r="BI190"/>
      <c r="BJ190"/>
    </row>
    <row r="191" spans="3:62">
      <c r="AK191" s="1">
        <v>1980</v>
      </c>
      <c r="BI191" s="1"/>
      <c r="BJ191" s="1"/>
    </row>
    <row r="192" spans="3:62">
      <c r="BI192" s="1"/>
      <c r="BJ192" s="1"/>
    </row>
    <row r="193" spans="37:62">
      <c r="BI193" s="1"/>
      <c r="BJ193" s="1"/>
    </row>
    <row r="194" spans="37:62">
      <c r="AK194" s="1">
        <f>1793-478</f>
        <v>1315</v>
      </c>
      <c r="BI194" s="1"/>
      <c r="BJ194" s="1"/>
    </row>
    <row r="195" spans="37:62">
      <c r="BI195" s="1"/>
      <c r="BJ195" s="1"/>
    </row>
    <row r="196" spans="37:62">
      <c r="BI196" s="1"/>
      <c r="BJ196" s="1"/>
    </row>
    <row r="197" spans="37:62">
      <c r="BI197" s="1"/>
      <c r="BJ197" s="1"/>
    </row>
    <row r="198" spans="37:62">
      <c r="BI198" s="1"/>
      <c r="BJ198" s="1"/>
    </row>
    <row r="199" spans="37:62">
      <c r="BI199" s="1"/>
      <c r="BJ199" s="1"/>
    </row>
    <row r="200" spans="37:62">
      <c r="BI200" s="1"/>
      <c r="BJ200" s="1"/>
    </row>
    <row r="201" spans="37:62">
      <c r="BI201" s="1"/>
      <c r="BJ201" s="1"/>
    </row>
    <row r="202" spans="37:62">
      <c r="BI202" s="1"/>
      <c r="BJ202" s="1"/>
    </row>
    <row r="203" spans="37:62">
      <c r="AK203" s="1">
        <v>-23</v>
      </c>
      <c r="BI203" s="1"/>
      <c r="BJ203" s="1"/>
    </row>
    <row r="204" spans="37:62">
      <c r="BI204" s="1"/>
      <c r="BJ204" s="1"/>
    </row>
    <row r="205" spans="37:62">
      <c r="BI205" s="1"/>
      <c r="BJ205" s="1"/>
    </row>
    <row r="206" spans="37:62">
      <c r="BI206" s="1"/>
      <c r="BJ206" s="1"/>
    </row>
    <row r="207" spans="37:62">
      <c r="BI207" s="1"/>
      <c r="BJ207" s="1"/>
    </row>
    <row r="208" spans="37:62">
      <c r="AR208" s="1">
        <v>59</v>
      </c>
      <c r="BI208" s="1"/>
      <c r="BJ208" s="1"/>
    </row>
    <row r="209" spans="20:62">
      <c r="BI209" s="1"/>
      <c r="BJ209" s="1"/>
    </row>
    <row r="210" spans="20:62">
      <c r="BI210" s="1"/>
      <c r="BJ210" s="1"/>
    </row>
    <row r="211" spans="20:62">
      <c r="BI211" s="1"/>
      <c r="BJ211" s="1"/>
    </row>
    <row r="212" spans="20:62">
      <c r="BI212" s="1"/>
      <c r="BJ212" s="1"/>
    </row>
    <row r="213" spans="20:62">
      <c r="AG213" s="1">
        <v>616</v>
      </c>
      <c r="BI213" s="1"/>
      <c r="BJ213" s="1"/>
    </row>
    <row r="214" spans="20:62">
      <c r="BI214" s="1"/>
      <c r="BJ214" s="1"/>
    </row>
    <row r="215" spans="20:62">
      <c r="BI215" s="1"/>
      <c r="BJ215" s="1"/>
    </row>
    <row r="216" spans="20:62">
      <c r="BI216" s="1"/>
      <c r="BJ216" s="1"/>
    </row>
    <row r="217" spans="20:62">
      <c r="BI217" s="1"/>
      <c r="BJ217" s="1"/>
    </row>
    <row r="218" spans="20:62">
      <c r="BI218" s="1"/>
      <c r="BJ218" s="1"/>
    </row>
    <row r="219" spans="20:62">
      <c r="AG219" s="1">
        <f>18.765+190.909</f>
        <v>209.67399999999998</v>
      </c>
      <c r="BI219" s="1"/>
      <c r="BJ219" s="1"/>
    </row>
    <row r="220" spans="20:62">
      <c r="BI220" s="1"/>
      <c r="BJ220" s="1"/>
    </row>
    <row r="221" spans="20:62">
      <c r="BI221" s="1"/>
      <c r="BJ221" s="1"/>
    </row>
    <row r="222" spans="20:62">
      <c r="AG222" s="1">
        <f>AG219-27</f>
        <v>182.67399999999998</v>
      </c>
      <c r="BI222" s="1"/>
      <c r="BJ222" s="1"/>
    </row>
    <row r="223" spans="20:62">
      <c r="BI223" s="1"/>
      <c r="BJ223" s="1"/>
    </row>
    <row r="224" spans="20:62">
      <c r="T224" s="1">
        <v>405.46800000000002</v>
      </c>
      <c r="BI224" s="1"/>
      <c r="BJ224" s="1"/>
    </row>
    <row r="225" spans="1:62">
      <c r="BI225" s="1"/>
      <c r="BJ225" s="1"/>
    </row>
    <row r="226" spans="1:62">
      <c r="BI226" s="1"/>
      <c r="BJ226" s="1"/>
    </row>
    <row r="227" spans="1:62">
      <c r="T227" s="1">
        <v>63.363999999999997</v>
      </c>
      <c r="BI227" s="1"/>
      <c r="BJ227" s="1"/>
    </row>
    <row r="228" spans="1:62">
      <c r="BI228" s="1"/>
      <c r="BJ228" s="1"/>
    </row>
    <row r="229" spans="1:62">
      <c r="BI229" s="1"/>
      <c r="BJ229" s="1"/>
    </row>
    <row r="230" spans="1:62">
      <c r="T230" s="1">
        <v>-75.885000000000005</v>
      </c>
      <c r="BI230" s="1"/>
      <c r="BJ230" s="1"/>
    </row>
    <row r="231" spans="1:62">
      <c r="BI231" s="1"/>
      <c r="BJ231" s="1"/>
    </row>
    <row r="232" spans="1:62">
      <c r="BI232" s="1"/>
      <c r="BJ232" s="1"/>
    </row>
    <row r="233" spans="1:62">
      <c r="T233" s="1">
        <v>74.073999999999998</v>
      </c>
      <c r="BI233" s="1"/>
      <c r="BJ233" s="1"/>
    </row>
    <row r="234" spans="1:62">
      <c r="BI234" s="1"/>
      <c r="BJ234" s="1"/>
    </row>
    <row r="235" spans="1:62">
      <c r="BI235" s="1"/>
      <c r="BJ235" s="1"/>
    </row>
    <row r="236" spans="1:62">
      <c r="BI236" s="1"/>
      <c r="BJ236" s="1"/>
    </row>
    <row r="237" spans="1:62">
      <c r="A237" s="32"/>
      <c r="BI237" s="1"/>
      <c r="BJ237" s="1"/>
    </row>
    <row r="238" spans="1:62">
      <c r="BI238" s="1"/>
      <c r="BJ238" s="1"/>
    </row>
    <row r="239" spans="1:62">
      <c r="BI239" s="1"/>
      <c r="BJ239" s="1"/>
    </row>
    <row r="240" spans="1:62">
      <c r="BI240" s="1"/>
      <c r="BJ240" s="1"/>
    </row>
    <row r="241" spans="15:62">
      <c r="O241" s="1">
        <v>126.117</v>
      </c>
      <c r="T241" s="1">
        <v>134.20099999999999</v>
      </c>
      <c r="BI241" s="1"/>
      <c r="BJ241" s="1"/>
    </row>
    <row r="242" spans="15:62">
      <c r="BI242" s="1"/>
      <c r="BJ242" s="1"/>
    </row>
    <row r="243" spans="15:62">
      <c r="BI243" s="1"/>
      <c r="BJ243" s="1"/>
    </row>
    <row r="244" spans="15:62">
      <c r="BI244" s="1"/>
      <c r="BJ244" s="1"/>
    </row>
    <row r="245" spans="15:62">
      <c r="BI245" s="1"/>
      <c r="BJ245" s="1"/>
    </row>
    <row r="246" spans="15:62">
      <c r="W246" s="1">
        <v>118</v>
      </c>
      <c r="BI246" s="1"/>
      <c r="BJ246" s="1"/>
    </row>
    <row r="247" spans="15:62">
      <c r="O247" s="1">
        <f>52.441+2.5+9.771</f>
        <v>64.712000000000003</v>
      </c>
      <c r="T247" s="1">
        <f>51.634+6.428+9.274</f>
        <v>67.335999999999999</v>
      </c>
      <c r="BI247" s="1"/>
      <c r="BJ247" s="1"/>
    </row>
    <row r="248" spans="15:62">
      <c r="W248" s="108">
        <v>-9.1999999999999998E-2</v>
      </c>
      <c r="BI248" s="1"/>
      <c r="BJ248" s="1"/>
    </row>
    <row r="249" spans="15:62">
      <c r="BI249" s="1"/>
      <c r="BJ249" s="1"/>
    </row>
    <row r="250" spans="15:62">
      <c r="T250" s="1">
        <f>T247-0.156</f>
        <v>67.179999999999993</v>
      </c>
      <c r="BI250" s="1"/>
      <c r="BJ250" s="1"/>
    </row>
    <row r="251" spans="15:62">
      <c r="BI251" s="1"/>
      <c r="BJ251" s="1"/>
    </row>
    <row r="252" spans="15:62">
      <c r="BI252" s="1"/>
      <c r="BJ252" s="1"/>
    </row>
    <row r="253" spans="15:62">
      <c r="BI253" s="1"/>
      <c r="BJ253" s="1"/>
    </row>
    <row r="254" spans="15:62">
      <c r="BI254" s="1"/>
      <c r="BJ254" s="1"/>
    </row>
    <row r="255" spans="15:62">
      <c r="BI255" s="1"/>
      <c r="BJ255" s="1"/>
    </row>
    <row r="256" spans="15:62">
      <c r="BI256" s="1"/>
      <c r="BJ256" s="1"/>
    </row>
    <row r="257" spans="61:62">
      <c r="BI257" s="1"/>
      <c r="BJ257" s="1"/>
    </row>
    <row r="258" spans="61:62">
      <c r="BI258" s="1"/>
      <c r="BJ258" s="1"/>
    </row>
    <row r="259" spans="61:62">
      <c r="BI259" s="1"/>
      <c r="BJ259" s="1"/>
    </row>
    <row r="260" spans="61:62">
      <c r="BI260" s="1"/>
      <c r="BJ260" s="1"/>
    </row>
    <row r="261" spans="61:62">
      <c r="BI261" s="1"/>
      <c r="BJ261" s="1"/>
    </row>
    <row r="262" spans="61:62">
      <c r="BI262" s="1"/>
      <c r="BJ262" s="1"/>
    </row>
    <row r="263" spans="61:62">
      <c r="BI263" s="1"/>
      <c r="BJ263" s="1"/>
    </row>
    <row r="264" spans="61:62">
      <c r="BI264" s="1"/>
      <c r="BJ264" s="1"/>
    </row>
    <row r="265" spans="61:62">
      <c r="BI265" s="1"/>
      <c r="BJ265" s="1"/>
    </row>
    <row r="266" spans="61:62">
      <c r="BI266" s="1"/>
      <c r="BJ266" s="1"/>
    </row>
    <row r="267" spans="61:62">
      <c r="BI267" s="1"/>
      <c r="BJ267" s="1"/>
    </row>
    <row r="268" spans="61:62">
      <c r="BI268" s="1"/>
      <c r="BJ268" s="1"/>
    </row>
    <row r="269" spans="61:62">
      <c r="BI269" s="1"/>
      <c r="BJ269" s="1"/>
    </row>
    <row r="270" spans="61:62">
      <c r="BI270" s="1"/>
      <c r="BJ270" s="1"/>
    </row>
    <row r="271" spans="61:62">
      <c r="BI271" s="1"/>
      <c r="BJ271" s="1"/>
    </row>
    <row r="272" spans="61:62">
      <c r="BI272" s="1"/>
      <c r="BJ272" s="1"/>
    </row>
    <row r="273" spans="61:62">
      <c r="BI273" s="1"/>
      <c r="BJ273" s="1"/>
    </row>
    <row r="274" spans="61:62">
      <c r="BI274" s="1"/>
      <c r="BJ274" s="1"/>
    </row>
    <row r="275" spans="61:62">
      <c r="BI275" s="1"/>
      <c r="BJ275" s="1"/>
    </row>
    <row r="276" spans="61:62">
      <c r="BI276" s="1"/>
      <c r="BJ276" s="1"/>
    </row>
    <row r="277" spans="61:62">
      <c r="BI277" s="1"/>
      <c r="BJ277" s="1"/>
    </row>
    <row r="278" spans="61:62">
      <c r="BI278" s="1"/>
      <c r="BJ278" s="1"/>
    </row>
    <row r="279" spans="61:62">
      <c r="BI279" s="1"/>
      <c r="BJ279" s="1"/>
    </row>
    <row r="280" spans="61:62">
      <c r="BI280" s="1"/>
      <c r="BJ280" s="1"/>
    </row>
    <row r="281" spans="61:62">
      <c r="BI281" s="1"/>
      <c r="BJ281" s="1"/>
    </row>
    <row r="282" spans="61:62">
      <c r="BI282" s="1"/>
      <c r="BJ282" s="1"/>
    </row>
    <row r="283" spans="61:62">
      <c r="BI283" s="1"/>
      <c r="BJ283" s="1"/>
    </row>
    <row r="284" spans="61:62">
      <c r="BI284" s="1"/>
      <c r="BJ284" s="1"/>
    </row>
    <row r="285" spans="61:62">
      <c r="BI285" s="1"/>
      <c r="BJ285" s="1"/>
    </row>
    <row r="286" spans="61:62">
      <c r="BI286" s="1"/>
      <c r="BJ286" s="1"/>
    </row>
    <row r="287" spans="61:62">
      <c r="BI287" s="1"/>
      <c r="BJ287" s="1"/>
    </row>
    <row r="288" spans="61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49" spans="57:57">
      <c r="BE349" s="1">
        <f>BE346-260</f>
        <v>-260</v>
      </c>
    </row>
    <row r="368" spans="55:55">
      <c r="BC368" s="108">
        <v>0.26400000000000001</v>
      </c>
    </row>
    <row r="420" spans="31:37">
      <c r="AE420" s="1">
        <v>131</v>
      </c>
      <c r="AJ420" s="1">
        <v>135</v>
      </c>
    </row>
    <row r="422" spans="31:37">
      <c r="AJ422" s="108">
        <v>3.5000000000000003E-2</v>
      </c>
    </row>
    <row r="425" spans="31:37">
      <c r="AE425" s="1">
        <v>134</v>
      </c>
      <c r="AF425" s="1">
        <v>491</v>
      </c>
    </row>
    <row r="427" spans="31:37">
      <c r="AJ427" s="108">
        <v>-8.7999999999999995E-2</v>
      </c>
      <c r="AK427" s="108">
        <v>-0.10100000000000001</v>
      </c>
    </row>
    <row r="437" spans="31:37">
      <c r="AF437" s="1">
        <v>167</v>
      </c>
      <c r="AJ437" s="1">
        <v>27</v>
      </c>
      <c r="AK437" s="1">
        <v>138</v>
      </c>
    </row>
    <row r="439" spans="31:37">
      <c r="AJ439" s="108">
        <v>-0.47899999999999998</v>
      </c>
      <c r="AK439" s="108">
        <v>-0.17799999999999999</v>
      </c>
    </row>
    <row r="445" spans="31:37">
      <c r="AE445" s="108">
        <v>0.313</v>
      </c>
    </row>
  </sheetData>
  <customSheetViews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98425196850393704" bottom="0.39370078740157483" header="0.51181102362204722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3" manualBreakCount="3">
    <brk id="62" max="16383" man="1"/>
    <brk id="112" max="16383" man="1"/>
    <brk id="31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0"/>
  <sheetViews>
    <sheetView showGridLines="0" tabSelected="1" topLeftCell="A7" zoomScale="110" zoomScaleNormal="110" workbookViewId="0">
      <selection activeCell="J20" sqref="J20"/>
    </sheetView>
  </sheetViews>
  <sheetFormatPr defaultRowHeight="12.75"/>
  <cols>
    <col min="1" max="1" width="4" customWidth="1"/>
    <col min="2" max="2" width="35.7109375" customWidth="1"/>
    <col min="3" max="3" width="22.7109375" customWidth="1"/>
    <col min="4" max="4" width="19.7109375" customWidth="1"/>
    <col min="5" max="5" width="29" customWidth="1"/>
  </cols>
  <sheetData>
    <row r="1" spans="1:9">
      <c r="A1" s="29"/>
      <c r="B1" s="29"/>
    </row>
    <row r="2" spans="1:9">
      <c r="A2" s="29"/>
      <c r="B2" s="29"/>
    </row>
    <row r="3" spans="1:9">
      <c r="A3" s="29"/>
      <c r="B3" s="30"/>
      <c r="D3" s="300"/>
      <c r="E3" s="300"/>
    </row>
    <row r="4" spans="1:9">
      <c r="A4" s="29"/>
      <c r="C4" s="274"/>
      <c r="D4" s="300"/>
      <c r="E4" s="300"/>
    </row>
    <row r="5" spans="1:9" ht="5.25" customHeight="1">
      <c r="A5" s="29"/>
      <c r="B5" s="363"/>
      <c r="C5" s="363"/>
      <c r="D5" s="363"/>
      <c r="E5" s="363"/>
      <c r="F5" s="363"/>
      <c r="G5" s="363"/>
      <c r="H5" s="363"/>
      <c r="I5" s="363"/>
    </row>
    <row r="6" spans="1:9">
      <c r="A6" s="29"/>
      <c r="B6" s="119"/>
      <c r="C6" s="119"/>
      <c r="D6" s="119"/>
      <c r="E6" s="119"/>
      <c r="F6" s="119"/>
      <c r="G6" s="119"/>
      <c r="H6" s="119"/>
      <c r="I6" s="119"/>
    </row>
    <row r="7" spans="1:9" ht="20.25">
      <c r="A7" s="29"/>
      <c r="B7" s="33" t="s">
        <v>428</v>
      </c>
      <c r="C7" s="119"/>
      <c r="D7" s="119"/>
      <c r="E7" s="119"/>
      <c r="F7" s="119"/>
      <c r="G7" s="119"/>
      <c r="H7" s="119"/>
      <c r="I7" s="119"/>
    </row>
    <row r="8" spans="1:9">
      <c r="A8" s="29"/>
      <c r="B8" s="328"/>
      <c r="C8" s="328"/>
      <c r="D8" s="328"/>
      <c r="E8" s="328"/>
      <c r="F8" s="328"/>
      <c r="G8" s="328"/>
      <c r="H8" s="328"/>
      <c r="I8" s="328"/>
    </row>
    <row r="9" spans="1:9">
      <c r="A9" s="29"/>
      <c r="B9" s="300"/>
      <c r="C9" s="300"/>
      <c r="D9" s="300"/>
      <c r="E9" s="300"/>
    </row>
    <row r="10" spans="1:9" ht="21" customHeight="1">
      <c r="A10" s="29"/>
      <c r="B10" s="300"/>
      <c r="C10" s="365" t="s">
        <v>410</v>
      </c>
      <c r="D10" s="365" t="s">
        <v>411</v>
      </c>
      <c r="E10" s="365" t="s">
        <v>412</v>
      </c>
    </row>
    <row r="11" spans="1:9" ht="20.100000000000001" customHeight="1">
      <c r="A11" s="29"/>
      <c r="B11" s="364" t="s">
        <v>409</v>
      </c>
      <c r="C11" s="241" t="s">
        <v>421</v>
      </c>
      <c r="D11" s="241" t="s">
        <v>419</v>
      </c>
      <c r="E11" s="241" t="s">
        <v>433</v>
      </c>
    </row>
    <row r="12" spans="1:9" ht="20.100000000000001" customHeight="1">
      <c r="A12" s="301"/>
      <c r="B12" s="364" t="s">
        <v>413</v>
      </c>
      <c r="C12" s="241" t="s">
        <v>420</v>
      </c>
      <c r="D12" s="241" t="s">
        <v>418</v>
      </c>
      <c r="E12" s="300"/>
    </row>
    <row r="13" spans="1:9" ht="20.100000000000001" customHeight="1">
      <c r="A13" s="301"/>
      <c r="B13" s="364" t="s">
        <v>414</v>
      </c>
      <c r="C13" s="241" t="s">
        <v>434</v>
      </c>
      <c r="D13" s="241" t="s">
        <v>422</v>
      </c>
      <c r="E13" s="241" t="s">
        <v>424</v>
      </c>
    </row>
    <row r="14" spans="1:9" ht="20.100000000000001" customHeight="1">
      <c r="A14" s="301"/>
      <c r="B14" s="364" t="s">
        <v>415</v>
      </c>
      <c r="C14" s="241" t="s">
        <v>423</v>
      </c>
      <c r="D14" s="300"/>
      <c r="E14" s="241" t="s">
        <v>437</v>
      </c>
    </row>
    <row r="15" spans="1:9" ht="20.100000000000001" customHeight="1">
      <c r="A15" s="301"/>
      <c r="B15" s="364" t="s">
        <v>416</v>
      </c>
      <c r="C15" s="241" t="s">
        <v>435</v>
      </c>
      <c r="D15" s="241" t="s">
        <v>426</v>
      </c>
      <c r="E15" s="241" t="s">
        <v>427</v>
      </c>
    </row>
    <row r="16" spans="1:9" ht="20.100000000000001" customHeight="1">
      <c r="A16" s="301"/>
      <c r="B16" s="364" t="s">
        <v>417</v>
      </c>
      <c r="C16" s="300"/>
      <c r="D16" s="241" t="s">
        <v>425</v>
      </c>
    </row>
    <row r="17" spans="1:5" ht="20.100000000000001" customHeight="1">
      <c r="A17" s="301"/>
      <c r="B17" s="364"/>
      <c r="C17" s="300"/>
      <c r="D17" s="300"/>
      <c r="E17" s="300"/>
    </row>
    <row r="18" spans="1:5" ht="14.25">
      <c r="A18" s="301"/>
      <c r="B18" s="300"/>
      <c r="C18" s="300"/>
      <c r="D18" s="300"/>
      <c r="E18" s="300"/>
    </row>
    <row r="19" spans="1:5">
      <c r="B19" s="366" t="s">
        <v>436</v>
      </c>
      <c r="C19" s="300"/>
      <c r="D19" s="300"/>
      <c r="E19" s="300"/>
    </row>
    <row r="20" spans="1:5" ht="15">
      <c r="A20" s="361"/>
      <c r="B20" s="367"/>
      <c r="C20" s="300"/>
      <c r="D20" s="300"/>
      <c r="E20" s="300"/>
    </row>
    <row r="21" spans="1:5" ht="15">
      <c r="A21" s="362"/>
      <c r="B21" s="281"/>
      <c r="C21" s="300"/>
      <c r="D21" s="300"/>
      <c r="E21" s="300"/>
    </row>
    <row r="22" spans="1:5" ht="15">
      <c r="A22" s="362"/>
      <c r="B22" s="281"/>
      <c r="C22" s="300"/>
      <c r="D22" s="300"/>
      <c r="E22" s="300"/>
    </row>
    <row r="23" spans="1:5" ht="14.25">
      <c r="A23" s="301"/>
      <c r="B23" s="300"/>
      <c r="C23" s="300"/>
      <c r="D23" s="300"/>
      <c r="E23" s="300"/>
    </row>
    <row r="24" spans="1:5" ht="12.75" customHeight="1">
      <c r="A24" s="301"/>
      <c r="B24" s="301"/>
      <c r="C24" s="301"/>
      <c r="D24" s="301"/>
      <c r="E24" s="301"/>
    </row>
    <row r="25" spans="1:5" s="273" customFormat="1" ht="112.5" customHeight="1">
      <c r="A25" s="302"/>
      <c r="B25" s="303"/>
      <c r="C25" s="303"/>
      <c r="D25" s="303"/>
      <c r="E25" s="303"/>
    </row>
    <row r="26" spans="1:5" s="273" customFormat="1" ht="39.75" customHeight="1">
      <c r="A26" s="302"/>
      <c r="B26" s="303"/>
      <c r="C26" s="303"/>
      <c r="D26" s="303"/>
      <c r="E26" s="303"/>
    </row>
    <row r="27" spans="1:5" s="273" customFormat="1" ht="13.5" customHeight="1">
      <c r="A27" s="302"/>
      <c r="B27" s="303"/>
      <c r="C27" s="303"/>
      <c r="D27" s="303"/>
      <c r="E27" s="303"/>
    </row>
    <row r="28" spans="1:5" ht="41.25" customHeight="1">
      <c r="A28" s="301"/>
      <c r="B28" s="300"/>
      <c r="C28" s="300"/>
      <c r="D28" s="300"/>
      <c r="E28" s="300"/>
    </row>
    <row r="29" spans="1:5" ht="27" customHeight="1">
      <c r="A29" s="301"/>
      <c r="B29" s="300"/>
      <c r="C29" s="300"/>
      <c r="D29" s="300"/>
      <c r="E29" s="300"/>
    </row>
    <row r="30" spans="1:5">
      <c r="A30" s="300"/>
      <c r="B30" s="300"/>
      <c r="C30" s="300"/>
      <c r="D30" s="300"/>
      <c r="E30" s="300"/>
    </row>
  </sheetData>
  <pageMargins left="0.70866141732283472" right="0.59055118110236227" top="0.74803149606299213" bottom="0.39370078740157483" header="0.31496062992125984" footer="0.31496062992125984"/>
  <pageSetup paperSize="9" scale="9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59"/>
  <sheetViews>
    <sheetView showGridLines="0" tabSelected="1" topLeftCell="A13" zoomScale="120" zoomScaleNormal="120" workbookViewId="0">
      <selection activeCell="J20" sqref="J20"/>
    </sheetView>
  </sheetViews>
  <sheetFormatPr defaultRowHeight="12.75"/>
  <cols>
    <col min="1" max="1" width="3.140625" customWidth="1"/>
    <col min="2" max="2" width="27.7109375" customWidth="1"/>
    <col min="3" max="3" width="14.5703125" customWidth="1"/>
    <col min="4" max="4" width="12.5703125" customWidth="1"/>
    <col min="5" max="5" width="14.140625" customWidth="1"/>
    <col min="6" max="6" width="25.140625" customWidth="1"/>
    <col min="7" max="7" width="10.5703125" bestFit="1" customWidth="1"/>
  </cols>
  <sheetData>
    <row r="1" spans="2:6">
      <c r="B1" s="92"/>
      <c r="C1" s="92"/>
      <c r="D1" s="92"/>
      <c r="E1" s="92"/>
      <c r="F1" s="92"/>
    </row>
    <row r="2" spans="2:6">
      <c r="B2" s="92"/>
      <c r="C2" s="45"/>
      <c r="D2" s="45"/>
      <c r="E2" s="45"/>
      <c r="F2" s="45"/>
    </row>
    <row r="3" spans="2:6">
      <c r="B3" s="50"/>
      <c r="C3" s="45"/>
      <c r="D3" s="45"/>
      <c r="E3" s="45"/>
      <c r="F3" s="45"/>
    </row>
    <row r="4" spans="2:6" ht="6.75" customHeight="1">
      <c r="B4" s="42"/>
      <c r="C4" s="43"/>
      <c r="D4" s="43"/>
      <c r="E4" s="43"/>
      <c r="F4" s="43"/>
    </row>
    <row r="5" spans="2:6" ht="20.25">
      <c r="B5" s="33" t="s">
        <v>239</v>
      </c>
      <c r="C5" s="26"/>
      <c r="D5" s="26"/>
      <c r="E5" s="26"/>
      <c r="F5" s="26"/>
    </row>
    <row r="6" spans="2:6" ht="12" customHeight="1">
      <c r="B6" s="208"/>
      <c r="C6" s="208"/>
      <c r="D6" s="208"/>
      <c r="E6" s="54"/>
      <c r="F6" s="54"/>
    </row>
    <row r="7" spans="2:6" ht="8.25" customHeight="1">
      <c r="B7" s="328"/>
      <c r="C7" s="316"/>
      <c r="D7" s="316"/>
      <c r="E7" s="316"/>
      <c r="F7" s="316"/>
    </row>
    <row r="9" spans="2:6">
      <c r="B9" s="213" t="s">
        <v>226</v>
      </c>
      <c r="C9" s="213" t="s">
        <v>230</v>
      </c>
      <c r="D9" s="213" t="s">
        <v>227</v>
      </c>
    </row>
    <row r="10" spans="2:6">
      <c r="B10" s="207" t="s">
        <v>228</v>
      </c>
      <c r="C10" s="207" t="s">
        <v>255</v>
      </c>
      <c r="D10" s="230" t="s">
        <v>254</v>
      </c>
    </row>
    <row r="12" spans="2:6">
      <c r="B12" s="207" t="s">
        <v>229</v>
      </c>
      <c r="C12" s="230" t="s">
        <v>253</v>
      </c>
      <c r="D12" s="230" t="s">
        <v>254</v>
      </c>
      <c r="E12" s="207"/>
    </row>
    <row r="15" spans="2:6">
      <c r="B15" s="213" t="s">
        <v>394</v>
      </c>
      <c r="C15" s="213"/>
      <c r="D15" s="213"/>
      <c r="E15" s="213"/>
      <c r="F15" s="213"/>
    </row>
    <row r="16" spans="2:6">
      <c r="B16" t="s">
        <v>256</v>
      </c>
    </row>
    <row r="18" spans="2:7">
      <c r="B18" s="213" t="s">
        <v>244</v>
      </c>
    </row>
    <row r="19" spans="2:7" ht="18" customHeight="1">
      <c r="B19" s="214"/>
      <c r="C19" s="215" t="s">
        <v>236</v>
      </c>
      <c r="D19" s="216" t="s">
        <v>237</v>
      </c>
      <c r="E19" s="215" t="s">
        <v>287</v>
      </c>
      <c r="F19" s="215" t="s">
        <v>288</v>
      </c>
    </row>
    <row r="20" spans="2:7">
      <c r="B20" s="214"/>
      <c r="E20" s="215"/>
      <c r="F20" s="217"/>
    </row>
    <row r="21" spans="2:7" ht="15" customHeight="1">
      <c r="B21" s="209" t="s">
        <v>231</v>
      </c>
      <c r="C21" s="210">
        <v>621240</v>
      </c>
      <c r="D21" s="210">
        <v>35708</v>
      </c>
      <c r="E21" s="210">
        <v>176621</v>
      </c>
      <c r="F21" s="210">
        <f>SUM(C21:E21)</f>
        <v>833569</v>
      </c>
    </row>
    <row r="22" spans="2:7" ht="15" customHeight="1">
      <c r="B22" s="209" t="s">
        <v>232</v>
      </c>
      <c r="C22" s="210">
        <v>620026</v>
      </c>
      <c r="D22" s="210">
        <v>250205</v>
      </c>
      <c r="E22" s="210">
        <v>151611</v>
      </c>
      <c r="F22" s="210">
        <f>SUM(C22:E22)</f>
        <v>1021842</v>
      </c>
    </row>
    <row r="23" spans="2:7" ht="15" customHeight="1">
      <c r="B23" s="209" t="s">
        <v>233</v>
      </c>
      <c r="C23" s="210">
        <v>270840</v>
      </c>
      <c r="D23" s="210">
        <v>643490</v>
      </c>
      <c r="E23" s="210">
        <v>122054</v>
      </c>
      <c r="F23" s="210">
        <f>SUM(C23:E23)</f>
        <v>1036384</v>
      </c>
    </row>
    <row r="24" spans="2:7" ht="15" customHeight="1">
      <c r="B24" s="209" t="s">
        <v>234</v>
      </c>
      <c r="C24" s="210">
        <v>270840</v>
      </c>
      <c r="D24" s="210">
        <v>643490</v>
      </c>
      <c r="E24" s="210">
        <v>92608</v>
      </c>
      <c r="F24" s="210">
        <f>SUM(C24:E24)</f>
        <v>1006938</v>
      </c>
    </row>
    <row r="25" spans="2:7" ht="15" customHeight="1">
      <c r="B25" s="209" t="s">
        <v>235</v>
      </c>
      <c r="C25" s="210">
        <v>1548895</v>
      </c>
      <c r="D25" s="210">
        <v>1478256</v>
      </c>
      <c r="E25" s="210">
        <v>160041</v>
      </c>
      <c r="F25" s="210">
        <f>SUM(C25:E25)</f>
        <v>3187192</v>
      </c>
    </row>
    <row r="26" spans="2:7">
      <c r="B26" s="211" t="s">
        <v>238</v>
      </c>
      <c r="C26" s="212">
        <f>SUM(C21:C25)</f>
        <v>3331841</v>
      </c>
      <c r="D26" s="212">
        <f>SUM(D21:D25)</f>
        <v>3051149</v>
      </c>
      <c r="E26" s="212">
        <f>SUM(E21:E25)</f>
        <v>702935</v>
      </c>
      <c r="F26" s="212">
        <f>SUM(F21:F25)</f>
        <v>7085925</v>
      </c>
      <c r="G26" s="232"/>
    </row>
    <row r="29" spans="2:7">
      <c r="B29" s="213" t="s">
        <v>245</v>
      </c>
    </row>
    <row r="30" spans="2:7" ht="18" customHeight="1">
      <c r="B30" s="214"/>
      <c r="C30" s="215" t="s">
        <v>236</v>
      </c>
      <c r="D30" s="216" t="s">
        <v>237</v>
      </c>
      <c r="E30" s="215" t="s">
        <v>287</v>
      </c>
      <c r="F30" s="215" t="s">
        <v>288</v>
      </c>
    </row>
    <row r="31" spans="2:7">
      <c r="B31" s="214"/>
      <c r="C31" s="215"/>
      <c r="D31" s="216"/>
      <c r="E31" s="215"/>
      <c r="F31" s="217"/>
    </row>
    <row r="32" spans="2:7" ht="15" customHeight="1">
      <c r="B32" s="209" t="s">
        <v>231</v>
      </c>
      <c r="C32" s="210">
        <v>0</v>
      </c>
      <c r="D32" s="210">
        <v>93333</v>
      </c>
      <c r="E32" s="210">
        <v>32880</v>
      </c>
      <c r="F32" s="210">
        <f>SUM(C32:E32)</f>
        <v>126213</v>
      </c>
    </row>
    <row r="33" spans="2:6" ht="15" customHeight="1">
      <c r="B33" s="209" t="s">
        <v>232</v>
      </c>
      <c r="C33" s="210">
        <v>0</v>
      </c>
      <c r="D33" s="210">
        <v>76667</v>
      </c>
      <c r="E33" s="210">
        <v>29183</v>
      </c>
      <c r="F33" s="210">
        <f>SUM(C33:E33)</f>
        <v>105850</v>
      </c>
    </row>
    <row r="34" spans="2:6" ht="15" customHeight="1">
      <c r="B34" s="209" t="s">
        <v>233</v>
      </c>
      <c r="C34" s="210">
        <v>0</v>
      </c>
      <c r="D34" s="210">
        <v>58333</v>
      </c>
      <c r="E34" s="210">
        <v>26387</v>
      </c>
      <c r="F34" s="210">
        <f>SUM(C34:E34)</f>
        <v>84720</v>
      </c>
    </row>
    <row r="35" spans="2:6" ht="15" customHeight="1">
      <c r="B35" s="209" t="s">
        <v>234</v>
      </c>
      <c r="C35" s="210">
        <v>0</v>
      </c>
      <c r="D35" s="210">
        <v>70000</v>
      </c>
      <c r="E35" s="210">
        <v>24354</v>
      </c>
      <c r="F35" s="210">
        <f>SUM(C35:E35)</f>
        <v>94354</v>
      </c>
    </row>
    <row r="36" spans="2:6" ht="15" customHeight="1">
      <c r="B36" s="209" t="s">
        <v>235</v>
      </c>
      <c r="C36" s="210"/>
      <c r="D36" s="210">
        <v>630000</v>
      </c>
      <c r="E36" s="210">
        <v>54354</v>
      </c>
      <c r="F36" s="210">
        <f>SUM(C36:E36)</f>
        <v>684354</v>
      </c>
    </row>
    <row r="37" spans="2:6">
      <c r="B37" s="211" t="s">
        <v>238</v>
      </c>
      <c r="C37" s="212">
        <f>SUM(C32:C36)</f>
        <v>0</v>
      </c>
      <c r="D37" s="212">
        <f>SUM(D32:D36)</f>
        <v>928333</v>
      </c>
      <c r="E37" s="212">
        <f>SUM(E32:E36)</f>
        <v>167158</v>
      </c>
      <c r="F37" s="212">
        <f>SUM(F32:F36)</f>
        <v>1095491</v>
      </c>
    </row>
    <row r="38" spans="2:6">
      <c r="B38" s="213"/>
    </row>
    <row r="39" spans="2:6">
      <c r="B39" s="213"/>
    </row>
    <row r="40" spans="2:6">
      <c r="B40" s="213" t="s">
        <v>246</v>
      </c>
    </row>
    <row r="41" spans="2:6">
      <c r="B41" s="214"/>
      <c r="C41" s="215" t="s">
        <v>236</v>
      </c>
      <c r="D41" s="216" t="s">
        <v>237</v>
      </c>
      <c r="E41" s="215" t="s">
        <v>287</v>
      </c>
      <c r="F41" s="215" t="s">
        <v>288</v>
      </c>
    </row>
    <row r="42" spans="2:6">
      <c r="B42" s="214"/>
      <c r="C42" s="215"/>
      <c r="D42" s="216"/>
      <c r="E42" s="215"/>
      <c r="F42" s="217"/>
    </row>
    <row r="43" spans="2:6">
      <c r="B43" s="209" t="s">
        <v>231</v>
      </c>
      <c r="C43" s="210">
        <v>0</v>
      </c>
      <c r="D43" s="210">
        <v>61556</v>
      </c>
      <c r="E43" s="210">
        <v>26546</v>
      </c>
      <c r="F43" s="210">
        <f>SUM(C43:E43)</f>
        <v>88102</v>
      </c>
    </row>
    <row r="44" spans="2:6">
      <c r="B44" s="209" t="s">
        <v>232</v>
      </c>
      <c r="C44" s="210">
        <v>0</v>
      </c>
      <c r="D44" s="210">
        <v>6000</v>
      </c>
      <c r="E44" s="210">
        <v>24194</v>
      </c>
      <c r="F44" s="210">
        <f>SUM(C44:E44)</f>
        <v>30194</v>
      </c>
    </row>
    <row r="45" spans="2:6">
      <c r="B45" s="209" t="s">
        <v>233</v>
      </c>
      <c r="C45" s="210">
        <v>0</v>
      </c>
      <c r="D45" s="210">
        <v>186000</v>
      </c>
      <c r="E45" s="210">
        <v>24041</v>
      </c>
      <c r="F45" s="210">
        <f>SUM(C45:E45)</f>
        <v>210041</v>
      </c>
    </row>
    <row r="46" spans="2:6">
      <c r="B46" s="209" t="s">
        <v>234</v>
      </c>
      <c r="C46" s="210">
        <v>0</v>
      </c>
      <c r="D46" s="210">
        <v>146000</v>
      </c>
      <c r="E46" s="210">
        <v>17131</v>
      </c>
      <c r="F46" s="210">
        <f>SUM(C46:E46)</f>
        <v>163131</v>
      </c>
    </row>
    <row r="47" spans="2:6">
      <c r="B47" s="209" t="s">
        <v>235</v>
      </c>
      <c r="C47" s="210">
        <v>0</v>
      </c>
      <c r="D47" s="210">
        <v>367000</v>
      </c>
      <c r="E47" s="210">
        <v>16457</v>
      </c>
      <c r="F47" s="210">
        <f>SUM(C47:E47)</f>
        <v>383457</v>
      </c>
    </row>
    <row r="48" spans="2:6">
      <c r="B48" s="211" t="s">
        <v>238</v>
      </c>
      <c r="C48" s="212">
        <f>SUM(C43:C47)</f>
        <v>0</v>
      </c>
      <c r="D48" s="212">
        <f>SUM(D43:D47)</f>
        <v>766556</v>
      </c>
      <c r="E48" s="212">
        <f>SUM(E43:E47)</f>
        <v>108369</v>
      </c>
      <c r="F48" s="212">
        <f>SUM(F43:F47)</f>
        <v>874925</v>
      </c>
    </row>
    <row r="49" spans="2:6" ht="12.75" customHeight="1"/>
    <row r="50" spans="2:6" ht="12.75" customHeight="1">
      <c r="B50" s="213" t="s">
        <v>241</v>
      </c>
    </row>
    <row r="51" spans="2:6" ht="12.75" customHeight="1">
      <c r="B51" s="214"/>
      <c r="C51" s="215" t="s">
        <v>236</v>
      </c>
      <c r="D51" s="216" t="s">
        <v>237</v>
      </c>
      <c r="E51" s="215" t="s">
        <v>287</v>
      </c>
      <c r="F51" s="215" t="s">
        <v>288</v>
      </c>
    </row>
    <row r="52" spans="2:6" ht="12.75" customHeight="1">
      <c r="B52" s="214"/>
      <c r="C52" s="215"/>
      <c r="D52" s="216"/>
      <c r="E52" s="215"/>
      <c r="F52" s="217"/>
    </row>
    <row r="53" spans="2:6" ht="12.75" customHeight="1">
      <c r="B53" s="209" t="s">
        <v>231</v>
      </c>
      <c r="C53" s="210">
        <f>C43+C32+C21</f>
        <v>621240</v>
      </c>
      <c r="D53" s="210">
        <f>D43+D32+D21</f>
        <v>190597</v>
      </c>
      <c r="E53" s="210">
        <f>E43+E32+E21</f>
        <v>236047</v>
      </c>
      <c r="F53" s="210">
        <f>F43+F32+F21</f>
        <v>1047884</v>
      </c>
    </row>
    <row r="54" spans="2:6" ht="12.75" customHeight="1">
      <c r="B54" s="209" t="s">
        <v>232</v>
      </c>
      <c r="C54" s="210">
        <f t="shared" ref="C54:F57" si="0">C44+C33+C22</f>
        <v>620026</v>
      </c>
      <c r="D54" s="210">
        <f t="shared" si="0"/>
        <v>332872</v>
      </c>
      <c r="E54" s="210">
        <f t="shared" si="0"/>
        <v>204988</v>
      </c>
      <c r="F54" s="210">
        <f t="shared" si="0"/>
        <v>1157886</v>
      </c>
    </row>
    <row r="55" spans="2:6" ht="12.75" customHeight="1">
      <c r="B55" s="209" t="s">
        <v>233</v>
      </c>
      <c r="C55" s="210">
        <f t="shared" si="0"/>
        <v>270840</v>
      </c>
      <c r="D55" s="210">
        <f t="shared" si="0"/>
        <v>887823</v>
      </c>
      <c r="E55" s="210">
        <f t="shared" si="0"/>
        <v>172482</v>
      </c>
      <c r="F55" s="210">
        <f t="shared" si="0"/>
        <v>1331145</v>
      </c>
    </row>
    <row r="56" spans="2:6" ht="12.75" customHeight="1">
      <c r="B56" s="209" t="s">
        <v>234</v>
      </c>
      <c r="C56" s="210">
        <f t="shared" si="0"/>
        <v>270840</v>
      </c>
      <c r="D56" s="210">
        <f t="shared" si="0"/>
        <v>859490</v>
      </c>
      <c r="E56" s="210">
        <f t="shared" si="0"/>
        <v>134093</v>
      </c>
      <c r="F56" s="210">
        <f t="shared" si="0"/>
        <v>1264423</v>
      </c>
    </row>
    <row r="57" spans="2:6" ht="12.75" customHeight="1">
      <c r="B57" s="209" t="s">
        <v>235</v>
      </c>
      <c r="C57" s="210">
        <f t="shared" si="0"/>
        <v>1548895</v>
      </c>
      <c r="D57" s="210">
        <f t="shared" si="0"/>
        <v>2475256</v>
      </c>
      <c r="E57" s="210">
        <f t="shared" si="0"/>
        <v>230852</v>
      </c>
      <c r="F57" s="210">
        <f t="shared" si="0"/>
        <v>4255003</v>
      </c>
    </row>
    <row r="58" spans="2:6" ht="12.75" customHeight="1">
      <c r="B58" s="211" t="s">
        <v>238</v>
      </c>
      <c r="C58" s="212">
        <f>SUM(C53:C57)</f>
        <v>3331841</v>
      </c>
      <c r="D58" s="212">
        <f>SUM(D53:D57)</f>
        <v>4746038</v>
      </c>
      <c r="E58" s="212">
        <f>SUM(E53:E57)</f>
        <v>978462</v>
      </c>
      <c r="F58" s="212">
        <f>SUM(F53:F57)</f>
        <v>9056341</v>
      </c>
    </row>
    <row r="59" spans="2:6" ht="3" customHeight="1">
      <c r="B59" s="42"/>
      <c r="C59" s="43"/>
      <c r="D59" s="43"/>
      <c r="E59" s="43"/>
      <c r="F59" s="43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"/>
  <sheetViews>
    <sheetView showGridLines="0" tabSelected="1" topLeftCell="A7" zoomScale="140" zoomScaleNormal="140" workbookViewId="0">
      <selection activeCell="J20" sqref="J20"/>
    </sheetView>
  </sheetViews>
  <sheetFormatPr defaultRowHeight="12.75"/>
  <cols>
    <col min="1" max="1" width="1.28515625" style="207" customWidth="1"/>
    <col min="2" max="2" width="39.42578125" style="207" customWidth="1"/>
    <col min="3" max="3" width="12.85546875" style="207" customWidth="1"/>
    <col min="4" max="5" width="10.140625" style="207" customWidth="1"/>
    <col min="6" max="6" width="13.140625" style="207" customWidth="1"/>
    <col min="7" max="7" width="12" style="207" customWidth="1"/>
    <col min="8" max="8" width="21.85546875" style="207" customWidth="1"/>
    <col min="9" max="16384" width="9.140625" style="207"/>
  </cols>
  <sheetData>
    <row r="1" spans="2:8">
      <c r="B1" s="218"/>
      <c r="C1" s="218"/>
      <c r="D1" s="219"/>
      <c r="E1" s="219"/>
      <c r="F1" s="219"/>
      <c r="G1" s="219"/>
    </row>
    <row r="2" spans="2:8">
      <c r="B2" s="218"/>
      <c r="C2" s="218"/>
      <c r="D2" s="218"/>
      <c r="E2" s="218"/>
      <c r="F2" s="218"/>
      <c r="G2" s="218"/>
    </row>
    <row r="3" spans="2:8">
      <c r="B3" s="45"/>
      <c r="C3" s="231" t="s">
        <v>269</v>
      </c>
      <c r="D3" s="231" t="s">
        <v>271</v>
      </c>
      <c r="E3" s="231" t="s">
        <v>285</v>
      </c>
      <c r="F3" s="45" t="s">
        <v>275</v>
      </c>
      <c r="G3" s="45" t="s">
        <v>272</v>
      </c>
      <c r="H3" s="242" t="s">
        <v>277</v>
      </c>
    </row>
    <row r="4" spans="2:8">
      <c r="B4" s="46"/>
      <c r="C4" s="259" t="s">
        <v>270</v>
      </c>
      <c r="D4" s="240"/>
      <c r="E4" s="240"/>
      <c r="F4" s="45" t="s">
        <v>274</v>
      </c>
      <c r="G4" s="45" t="s">
        <v>273</v>
      </c>
      <c r="H4" s="242" t="s">
        <v>284</v>
      </c>
    </row>
    <row r="5" spans="2:8" ht="4.5" customHeight="1">
      <c r="B5" s="42"/>
      <c r="C5" s="42"/>
      <c r="D5" s="220"/>
      <c r="E5" s="220"/>
      <c r="F5" s="220"/>
      <c r="G5" s="220"/>
      <c r="H5" s="220"/>
    </row>
    <row r="6" spans="2:8">
      <c r="B6" s="221"/>
      <c r="C6" s="221"/>
      <c r="D6" s="221"/>
      <c r="E6" s="221"/>
      <c r="F6" s="221"/>
      <c r="G6" s="221"/>
      <c r="H6" s="221"/>
    </row>
    <row r="7" spans="2:8" ht="20.25">
      <c r="B7" s="33" t="s">
        <v>240</v>
      </c>
      <c r="C7" s="27"/>
      <c r="D7" s="222"/>
      <c r="E7" s="222"/>
      <c r="F7" s="222"/>
      <c r="G7" s="222"/>
      <c r="H7" s="222"/>
    </row>
    <row r="8" spans="2:8">
      <c r="B8" s="223"/>
      <c r="C8" s="223"/>
      <c r="D8" s="223"/>
      <c r="E8" s="223"/>
      <c r="F8" s="223"/>
      <c r="G8" s="223"/>
      <c r="H8" s="223"/>
    </row>
    <row r="9" spans="2:8">
      <c r="B9" s="328"/>
      <c r="C9" s="328"/>
      <c r="D9" s="316"/>
      <c r="E9" s="316"/>
      <c r="F9" s="316"/>
      <c r="G9" s="316"/>
      <c r="H9" s="316"/>
    </row>
    <row r="10" spans="2:8" ht="15" customHeight="1">
      <c r="B10" s="224"/>
      <c r="C10" s="226"/>
      <c r="D10" s="226"/>
      <c r="E10" s="226"/>
      <c r="F10" s="226"/>
      <c r="G10" s="226"/>
      <c r="H10" s="227"/>
    </row>
    <row r="11" spans="2:8" ht="15" customHeight="1">
      <c r="B11" s="359" t="s">
        <v>395</v>
      </c>
      <c r="C11" s="226"/>
      <c r="D11" s="226"/>
      <c r="E11" s="226"/>
      <c r="F11" s="226"/>
      <c r="G11" s="226"/>
      <c r="H11" s="227"/>
    </row>
    <row r="12" spans="2:8" ht="15" customHeight="1">
      <c r="B12" s="224"/>
      <c r="C12" s="226"/>
      <c r="D12" s="226"/>
      <c r="E12" s="226"/>
      <c r="F12" s="226"/>
      <c r="G12" s="226"/>
      <c r="H12" s="227"/>
    </row>
    <row r="13" spans="2:8" ht="15" customHeight="1">
      <c r="B13" s="224" t="s">
        <v>266</v>
      </c>
      <c r="C13" s="258">
        <v>711</v>
      </c>
      <c r="D13" s="253" t="s">
        <v>276</v>
      </c>
      <c r="E13" s="243" t="s">
        <v>237</v>
      </c>
      <c r="F13" s="243" t="s">
        <v>267</v>
      </c>
      <c r="G13" s="238">
        <v>3.4299999999999997E-2</v>
      </c>
      <c r="H13" s="239" t="s">
        <v>404</v>
      </c>
    </row>
    <row r="14" spans="2:8" ht="15" customHeight="1">
      <c r="B14" s="244"/>
      <c r="C14" s="360"/>
      <c r="D14" s="251"/>
      <c r="E14" s="251"/>
      <c r="F14" s="251"/>
      <c r="G14" s="248"/>
      <c r="H14" s="249"/>
    </row>
    <row r="15" spans="2:8" ht="51.75" customHeight="1">
      <c r="B15" s="244" t="s">
        <v>266</v>
      </c>
      <c r="C15" s="247">
        <v>300</v>
      </c>
      <c r="D15" s="249" t="s">
        <v>276</v>
      </c>
      <c r="E15" s="251" t="s">
        <v>237</v>
      </c>
      <c r="F15" s="357" t="s">
        <v>405</v>
      </c>
      <c r="G15" s="248">
        <v>2.1299999999999999E-2</v>
      </c>
      <c r="H15" s="358">
        <v>2.1299999999999999E-2</v>
      </c>
    </row>
    <row r="16" spans="2:8" s="241" customFormat="1" ht="83.25" customHeight="1">
      <c r="B16" s="224" t="s">
        <v>268</v>
      </c>
      <c r="C16" s="246">
        <v>36</v>
      </c>
      <c r="D16" s="253" t="s">
        <v>276</v>
      </c>
      <c r="E16" s="243" t="s">
        <v>237</v>
      </c>
      <c r="F16" s="250" t="s">
        <v>281</v>
      </c>
      <c r="G16" s="238">
        <v>1.38E-2</v>
      </c>
      <c r="H16" s="239" t="s">
        <v>406</v>
      </c>
    </row>
    <row r="17" spans="1:8" ht="15" customHeight="1">
      <c r="B17" s="244"/>
      <c r="C17" s="247"/>
      <c r="D17" s="262"/>
      <c r="E17" s="251"/>
      <c r="F17" s="247"/>
      <c r="G17" s="248"/>
      <c r="H17" s="245"/>
    </row>
    <row r="18" spans="1:8" ht="15" customHeight="1">
      <c r="B18" s="224"/>
      <c r="C18" s="246"/>
      <c r="D18" s="243"/>
      <c r="E18" s="243"/>
      <c r="F18" s="226"/>
      <c r="G18" s="238"/>
      <c r="H18" s="227"/>
    </row>
    <row r="19" spans="1:8" ht="15" customHeight="1">
      <c r="B19" s="224" t="s">
        <v>268</v>
      </c>
      <c r="C19" s="257">
        <v>4073</v>
      </c>
      <c r="D19" s="253" t="s">
        <v>276</v>
      </c>
      <c r="E19" s="243" t="s">
        <v>237</v>
      </c>
      <c r="F19" s="243" t="s">
        <v>267</v>
      </c>
      <c r="G19" s="238">
        <v>3.0599999999999999E-2</v>
      </c>
      <c r="H19" s="239" t="s">
        <v>407</v>
      </c>
    </row>
    <row r="20" spans="1:8" ht="15" customHeight="1">
      <c r="A20" s="225"/>
      <c r="B20" s="244"/>
      <c r="C20" s="247"/>
      <c r="D20" s="262"/>
      <c r="E20" s="251"/>
      <c r="F20" s="247"/>
      <c r="G20" s="248"/>
      <c r="H20" s="249"/>
    </row>
    <row r="21" spans="1:8" ht="15" customHeight="1">
      <c r="B21" s="224"/>
      <c r="C21" s="246"/>
      <c r="D21" s="243"/>
      <c r="E21" s="243"/>
      <c r="F21" s="226"/>
      <c r="G21" s="238"/>
      <c r="H21" s="239"/>
    </row>
    <row r="22" spans="1:8" ht="15" customHeight="1">
      <c r="B22" s="224" t="s">
        <v>268</v>
      </c>
      <c r="C22" s="246">
        <v>2916</v>
      </c>
      <c r="D22" s="253" t="s">
        <v>276</v>
      </c>
      <c r="E22" s="243" t="s">
        <v>286</v>
      </c>
      <c r="F22" s="243" t="s">
        <v>267</v>
      </c>
      <c r="G22" s="238">
        <v>1.72E-2</v>
      </c>
      <c r="H22" s="239" t="s">
        <v>408</v>
      </c>
    </row>
    <row r="23" spans="1:8" ht="15" customHeight="1">
      <c r="B23" s="224"/>
      <c r="C23" s="256"/>
      <c r="E23" s="253"/>
      <c r="F23" s="252"/>
      <c r="G23" s="254"/>
      <c r="H23" s="255"/>
    </row>
    <row r="24" spans="1:8" ht="4.5" customHeight="1">
      <c r="B24" s="42"/>
      <c r="C24" s="42"/>
      <c r="D24" s="220"/>
      <c r="E24" s="220"/>
      <c r="F24" s="220"/>
      <c r="G24" s="220"/>
      <c r="H24" s="220"/>
    </row>
    <row r="25" spans="1:8" ht="15" customHeight="1">
      <c r="B25" s="225"/>
      <c r="C25" s="226"/>
      <c r="D25" s="226"/>
      <c r="E25" s="226"/>
      <c r="F25" s="226"/>
      <c r="G25" s="226"/>
    </row>
    <row r="26" spans="1:8" ht="15" customHeight="1">
      <c r="B26" s="225"/>
      <c r="C26" s="226"/>
      <c r="D26" s="226"/>
      <c r="E26" s="226"/>
      <c r="F26" s="226"/>
      <c r="G26" s="226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6"/>
  <sheetViews>
    <sheetView showGridLines="0" tabSelected="1" view="pageBreakPreview" zoomScaleSheetLayoutView="100" workbookViewId="0">
      <selection activeCell="J20" sqref="J20"/>
    </sheetView>
  </sheetViews>
  <sheetFormatPr defaultColWidth="8.7109375" defaultRowHeight="12.75"/>
  <cols>
    <col min="1" max="1" width="25.42578125" style="91" customWidth="1"/>
    <col min="2" max="2" width="19.28515625" style="91" customWidth="1"/>
    <col min="3" max="3" width="23.28515625" style="91" customWidth="1"/>
    <col min="4" max="4" width="49.28515625" style="116" customWidth="1"/>
    <col min="5" max="5" width="29.42578125" style="91" customWidth="1"/>
    <col min="6" max="9" width="10.28515625" style="91" customWidth="1"/>
    <col min="10" max="10" width="10.42578125" style="91" customWidth="1"/>
    <col min="11" max="11" width="10.28515625" style="91" customWidth="1"/>
    <col min="12" max="12" width="17.7109375" style="94" customWidth="1"/>
    <col min="13" max="13" width="9.28515625" style="94" customWidth="1"/>
    <col min="14" max="74" width="8.7109375" style="94"/>
    <col min="75" max="16384" width="8.7109375" style="91"/>
  </cols>
  <sheetData>
    <row r="1" spans="1:74" s="92" customFormat="1" ht="15.75">
      <c r="B1" s="110"/>
      <c r="C1"/>
      <c r="D1" s="25"/>
      <c r="E1"/>
      <c r="F1"/>
      <c r="G1"/>
      <c r="H1"/>
      <c r="I1"/>
      <c r="J1"/>
      <c r="K1"/>
      <c r="L1" s="93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</row>
    <row r="2" spans="1:74" s="92" customFormat="1">
      <c r="D2" s="118"/>
      <c r="L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</row>
    <row r="3" spans="1:74" s="92" customFormat="1" ht="23.25">
      <c r="B3" s="111"/>
      <c r="C3"/>
      <c r="D3" s="25"/>
      <c r="E3"/>
      <c r="F3"/>
      <c r="G3"/>
      <c r="H3"/>
      <c r="I3"/>
      <c r="J3"/>
      <c r="K3"/>
      <c r="L3" s="93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8">
      <c r="A6" s="146" t="s">
        <v>92</v>
      </c>
      <c r="B6" s="26"/>
      <c r="C6" s="26"/>
      <c r="D6" s="119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2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5" t="s">
        <v>73</v>
      </c>
      <c r="B8" s="40"/>
      <c r="C8" s="40"/>
      <c r="D8" s="121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2" customFormat="1" ht="19.5" customHeight="1">
      <c r="A9" s="138" t="s">
        <v>93</v>
      </c>
      <c r="B9" s="138" t="s">
        <v>94</v>
      </c>
      <c r="C9" s="138" t="s">
        <v>75</v>
      </c>
      <c r="D9" s="139" t="s">
        <v>95</v>
      </c>
      <c r="E9" s="140"/>
      <c r="F9" s="113"/>
      <c r="G9" s="113"/>
      <c r="H9" s="113"/>
      <c r="I9" s="113"/>
      <c r="J9" s="113"/>
      <c r="K9" s="113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</row>
    <row r="10" spans="1:74" s="125" customFormat="1" ht="19.5" customHeight="1">
      <c r="A10" s="368" t="s">
        <v>438</v>
      </c>
      <c r="B10" s="181">
        <v>240</v>
      </c>
      <c r="C10" s="180">
        <v>0.09</v>
      </c>
      <c r="D10" s="125" t="s">
        <v>439</v>
      </c>
      <c r="E10" s="141"/>
      <c r="F10" s="123"/>
      <c r="G10" s="123"/>
      <c r="H10" s="123"/>
      <c r="I10" s="123"/>
      <c r="J10" s="123"/>
      <c r="K10" s="123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</row>
    <row r="11" spans="1:74" s="125" customFormat="1" ht="19.5" customHeight="1">
      <c r="A11" s="180" t="s">
        <v>200</v>
      </c>
      <c r="B11" s="181">
        <v>318</v>
      </c>
      <c r="C11" s="180">
        <v>0.11</v>
      </c>
      <c r="D11" s="182" t="s">
        <v>96</v>
      </c>
      <c r="E11" s="141"/>
      <c r="F11" s="123"/>
      <c r="G11" s="123"/>
      <c r="H11" s="123"/>
      <c r="I11" s="123"/>
      <c r="J11" s="123"/>
      <c r="K11" s="123"/>
      <c r="L11" s="123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</row>
    <row r="12" spans="1:74" s="125" customFormat="1" ht="18" customHeight="1">
      <c r="A12" s="180" t="s">
        <v>191</v>
      </c>
      <c r="B12" s="181">
        <v>368</v>
      </c>
      <c r="C12" s="180">
        <v>0.13</v>
      </c>
      <c r="D12" s="182" t="s">
        <v>126</v>
      </c>
      <c r="E12" s="141"/>
      <c r="F12" s="123"/>
      <c r="G12" s="123"/>
      <c r="H12" s="123"/>
      <c r="I12" s="123"/>
      <c r="J12" s="123"/>
      <c r="K12" s="123"/>
      <c r="L12" s="123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</row>
    <row r="13" spans="1:74" s="125" customFormat="1" ht="18" customHeight="1">
      <c r="A13" s="180" t="s">
        <v>157</v>
      </c>
      <c r="B13" s="181">
        <v>708</v>
      </c>
      <c r="C13" s="180">
        <v>0.26</v>
      </c>
      <c r="D13" s="182" t="s">
        <v>126</v>
      </c>
      <c r="E13" s="141"/>
      <c r="F13" s="123"/>
      <c r="G13" s="123"/>
      <c r="H13" s="123"/>
      <c r="I13" s="123"/>
      <c r="J13" s="123"/>
      <c r="K13" s="123"/>
      <c r="L13" s="123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</row>
    <row r="14" spans="1:74" s="125" customFormat="1" ht="18" customHeight="1">
      <c r="A14" s="183" t="s">
        <v>153</v>
      </c>
      <c r="B14" s="181">
        <v>578</v>
      </c>
      <c r="C14" s="183">
        <v>0.21</v>
      </c>
      <c r="D14" s="182" t="s">
        <v>126</v>
      </c>
      <c r="E14" s="142"/>
      <c r="F14" s="173"/>
      <c r="G14" s="173"/>
      <c r="H14" s="173"/>
      <c r="I14" s="123"/>
      <c r="J14" s="123"/>
      <c r="K14" s="123"/>
      <c r="L14" s="123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</row>
    <row r="15" spans="1:74" s="125" customFormat="1" ht="18" customHeight="1">
      <c r="A15" s="180" t="s">
        <v>147</v>
      </c>
      <c r="B15" s="181">
        <v>665</v>
      </c>
      <c r="C15" s="184">
        <v>0.24046770000000001</v>
      </c>
      <c r="D15" s="182" t="s">
        <v>126</v>
      </c>
      <c r="E15" s="142"/>
      <c r="F15" s="123"/>
      <c r="G15" s="123"/>
      <c r="H15" s="123"/>
      <c r="I15" s="123"/>
      <c r="J15" s="123"/>
      <c r="K15" s="123"/>
      <c r="L15" s="123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</row>
    <row r="16" spans="1:74" s="125" customFormat="1" ht="18" customHeight="1">
      <c r="A16" s="185">
        <v>42520</v>
      </c>
      <c r="B16" s="181">
        <v>776</v>
      </c>
      <c r="C16" s="186">
        <v>0.28060590000000002</v>
      </c>
      <c r="D16" s="182" t="s">
        <v>96</v>
      </c>
      <c r="E16" s="141"/>
      <c r="F16" s="123"/>
      <c r="G16" s="123"/>
      <c r="H16" s="123"/>
      <c r="I16" s="123"/>
      <c r="J16" s="123"/>
      <c r="K16" s="123"/>
      <c r="L16" s="123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</row>
    <row r="17" spans="1:74" s="125" customFormat="1" ht="18" customHeight="1">
      <c r="A17" s="180" t="s">
        <v>118</v>
      </c>
      <c r="B17" s="181">
        <v>933</v>
      </c>
      <c r="C17" s="184">
        <v>0.33895799999999998</v>
      </c>
      <c r="D17" s="182" t="s">
        <v>96</v>
      </c>
      <c r="E17" s="141"/>
      <c r="F17" s="123"/>
      <c r="G17" s="123"/>
      <c r="H17" s="123"/>
      <c r="I17" s="123"/>
      <c r="J17" s="123"/>
      <c r="K17" s="123"/>
      <c r="L17" s="123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</row>
    <row r="18" spans="1:74" s="125" customFormat="1" ht="18" customHeight="1">
      <c r="A18" s="180" t="s">
        <v>113</v>
      </c>
      <c r="B18" s="181">
        <v>844</v>
      </c>
      <c r="C18" s="180">
        <v>0.31</v>
      </c>
      <c r="D18" s="182" t="s">
        <v>126</v>
      </c>
      <c r="E18" s="141"/>
      <c r="F18" s="123"/>
      <c r="G18" s="123"/>
      <c r="H18" s="123"/>
      <c r="I18" s="123"/>
      <c r="J18" s="123"/>
      <c r="K18" s="123"/>
      <c r="L18" s="12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</row>
    <row r="19" spans="1:74" s="125" customFormat="1" ht="18" customHeight="1">
      <c r="A19" s="180" t="s">
        <v>112</v>
      </c>
      <c r="B19" s="181">
        <v>1267</v>
      </c>
      <c r="C19" s="184">
        <v>0.4627</v>
      </c>
      <c r="D19" s="182" t="s">
        <v>126</v>
      </c>
      <c r="E19" s="141"/>
      <c r="F19" s="123"/>
      <c r="G19" s="123"/>
      <c r="H19" s="123"/>
      <c r="I19" s="123"/>
      <c r="J19" s="123"/>
      <c r="K19" s="123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</row>
    <row r="20" spans="1:74" s="125" customFormat="1" ht="18" customHeight="1">
      <c r="A20" s="180" t="s">
        <v>110</v>
      </c>
      <c r="B20" s="181">
        <v>802</v>
      </c>
      <c r="C20" s="184">
        <v>0.29365089999999999</v>
      </c>
      <c r="D20" s="182" t="s">
        <v>96</v>
      </c>
      <c r="E20" s="142"/>
      <c r="F20" s="123"/>
      <c r="G20" s="123"/>
      <c r="H20" s="123"/>
      <c r="I20" s="123"/>
      <c r="J20" s="123"/>
      <c r="K20" s="123"/>
      <c r="L20" s="123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</row>
    <row r="21" spans="1:74" ht="18" customHeight="1">
      <c r="A21" s="187" t="s">
        <v>91</v>
      </c>
      <c r="B21" s="181">
        <v>500</v>
      </c>
      <c r="C21" s="188">
        <v>0.35539340000000003</v>
      </c>
      <c r="D21" s="182" t="s">
        <v>98</v>
      </c>
      <c r="E21" s="143"/>
    </row>
    <row r="22" spans="1:74" ht="18" customHeight="1">
      <c r="A22" s="187" t="s">
        <v>91</v>
      </c>
      <c r="B22" s="181">
        <v>969</v>
      </c>
      <c r="C22" s="188">
        <v>0.1833815</v>
      </c>
      <c r="D22" s="182" t="s">
        <v>96</v>
      </c>
      <c r="E22" s="143"/>
    </row>
    <row r="23" spans="1:74" ht="18" customHeight="1">
      <c r="A23" s="187" t="s">
        <v>90</v>
      </c>
      <c r="B23" s="181">
        <v>500</v>
      </c>
      <c r="C23" s="188">
        <v>0.18347540000000001</v>
      </c>
      <c r="D23" s="182" t="s">
        <v>99</v>
      </c>
      <c r="E23" s="143"/>
    </row>
    <row r="24" spans="1:74" ht="18" customHeight="1">
      <c r="A24" s="187" t="s">
        <v>90</v>
      </c>
      <c r="B24" s="181">
        <v>861</v>
      </c>
      <c r="C24" s="188">
        <v>0.31594460000000002</v>
      </c>
      <c r="D24" s="182" t="s">
        <v>96</v>
      </c>
      <c r="E24" s="143"/>
    </row>
    <row r="25" spans="1:74" ht="18" customHeight="1">
      <c r="A25" s="187" t="s">
        <v>89</v>
      </c>
      <c r="B25" s="181">
        <v>500</v>
      </c>
      <c r="C25" s="188">
        <v>0.18353149999999999</v>
      </c>
      <c r="D25" s="182" t="s">
        <v>100</v>
      </c>
      <c r="E25" s="143"/>
    </row>
    <row r="26" spans="1:74" ht="18" customHeight="1">
      <c r="A26" s="187" t="s">
        <v>89</v>
      </c>
      <c r="B26" s="181">
        <v>997</v>
      </c>
      <c r="C26" s="188">
        <v>0.3659618</v>
      </c>
      <c r="D26" s="182" t="s">
        <v>96</v>
      </c>
      <c r="E26" s="143"/>
    </row>
    <row r="27" spans="1:74" ht="18" customHeight="1">
      <c r="A27" s="187" t="s">
        <v>88</v>
      </c>
      <c r="B27" s="181">
        <v>500</v>
      </c>
      <c r="C27" s="188">
        <v>0.18397520000000001</v>
      </c>
      <c r="D27" s="182" t="s">
        <v>101</v>
      </c>
      <c r="E27" s="143"/>
    </row>
    <row r="28" spans="1:74" ht="18" customHeight="1">
      <c r="A28" s="187" t="s">
        <v>88</v>
      </c>
      <c r="B28" s="181">
        <v>1074</v>
      </c>
      <c r="C28" s="188">
        <v>0.3951788</v>
      </c>
      <c r="D28" s="182" t="s">
        <v>96</v>
      </c>
      <c r="E28" s="143"/>
    </row>
    <row r="29" spans="1:74" ht="18" customHeight="1">
      <c r="A29" s="187" t="s">
        <v>87</v>
      </c>
      <c r="B29" s="181">
        <v>500</v>
      </c>
      <c r="C29" s="188">
        <v>0.18459929999999999</v>
      </c>
      <c r="D29" s="182" t="s">
        <v>102</v>
      </c>
      <c r="E29" s="143"/>
    </row>
    <row r="30" spans="1:74" ht="18" customHeight="1">
      <c r="A30" s="187" t="s">
        <v>87</v>
      </c>
      <c r="B30" s="181">
        <v>992</v>
      </c>
      <c r="C30" s="188">
        <v>0.36624509999999999</v>
      </c>
      <c r="D30" s="182" t="s">
        <v>96</v>
      </c>
      <c r="E30" s="143"/>
    </row>
    <row r="31" spans="1:74" ht="18" customHeight="1">
      <c r="A31" s="187" t="s">
        <v>86</v>
      </c>
      <c r="B31" s="181">
        <v>500</v>
      </c>
      <c r="C31" s="188">
        <v>0.18511250000000001</v>
      </c>
      <c r="D31" s="182" t="s">
        <v>97</v>
      </c>
      <c r="E31" s="143"/>
    </row>
    <row r="32" spans="1:74" ht="18" customHeight="1">
      <c r="A32" s="187" t="s">
        <v>86</v>
      </c>
      <c r="B32" s="181">
        <v>1163</v>
      </c>
      <c r="C32" s="188">
        <v>0.4305716</v>
      </c>
      <c r="D32" s="182" t="s">
        <v>96</v>
      </c>
      <c r="E32" s="143"/>
    </row>
    <row r="33" spans="1:12" ht="18" customHeight="1">
      <c r="A33" s="187" t="s">
        <v>85</v>
      </c>
      <c r="B33" s="181">
        <v>1280</v>
      </c>
      <c r="C33" s="188">
        <v>0.47804590000000002</v>
      </c>
      <c r="D33" s="182" t="s">
        <v>96</v>
      </c>
      <c r="E33" s="143"/>
    </row>
    <row r="34" spans="1:12" ht="18" customHeight="1">
      <c r="A34" s="187" t="s">
        <v>84</v>
      </c>
      <c r="B34" s="181">
        <v>2453</v>
      </c>
      <c r="C34" s="188">
        <v>0.91706790000000005</v>
      </c>
      <c r="D34" s="182" t="s">
        <v>96</v>
      </c>
      <c r="E34" s="143"/>
    </row>
    <row r="35" spans="1:12" ht="18" customHeight="1">
      <c r="A35" s="187" t="s">
        <v>83</v>
      </c>
      <c r="B35" s="181">
        <v>1149</v>
      </c>
      <c r="C35" s="188">
        <v>0.43297429999999998</v>
      </c>
      <c r="D35" s="182" t="s">
        <v>96</v>
      </c>
      <c r="E35" s="143"/>
    </row>
    <row r="36" spans="1:12" ht="18" customHeight="1">
      <c r="A36" s="187" t="s">
        <v>82</v>
      </c>
      <c r="B36" s="181">
        <v>792</v>
      </c>
      <c r="C36" s="188">
        <v>0.30130249999999997</v>
      </c>
      <c r="D36" s="182" t="s">
        <v>96</v>
      </c>
      <c r="E36" s="143"/>
    </row>
    <row r="37" spans="1:12" ht="18" customHeight="1">
      <c r="A37" s="187" t="s">
        <v>81</v>
      </c>
      <c r="B37" s="181">
        <v>835</v>
      </c>
      <c r="C37" s="188">
        <v>0.32053179999999998</v>
      </c>
      <c r="D37" s="182" t="s">
        <v>96</v>
      </c>
      <c r="E37" s="143"/>
    </row>
    <row r="38" spans="1:12" ht="18" customHeight="1">
      <c r="A38" s="187" t="s">
        <v>80</v>
      </c>
      <c r="B38" s="181">
        <v>679</v>
      </c>
      <c r="C38" s="188">
        <v>0.26064799999999999</v>
      </c>
      <c r="D38" s="182" t="s">
        <v>96</v>
      </c>
      <c r="E38" s="143"/>
    </row>
    <row r="39" spans="1:12" ht="18" customHeight="1">
      <c r="A39" s="189" t="s">
        <v>79</v>
      </c>
      <c r="B39" s="190">
        <v>760</v>
      </c>
      <c r="C39" s="188">
        <v>0.29174149999999999</v>
      </c>
      <c r="D39" s="182" t="s">
        <v>96</v>
      </c>
      <c r="E39" s="144"/>
      <c r="F39" s="92"/>
      <c r="G39" s="92"/>
      <c r="H39" s="92"/>
      <c r="I39" s="92"/>
      <c r="J39" s="92"/>
      <c r="K39" s="92"/>
      <c r="L39" s="93"/>
    </row>
    <row r="40" spans="1:12" ht="18" customHeight="1">
      <c r="A40" s="189" t="s">
        <v>78</v>
      </c>
      <c r="B40" s="190">
        <v>1800</v>
      </c>
      <c r="C40" s="188">
        <v>0.69096679999999999</v>
      </c>
      <c r="D40" s="182" t="s">
        <v>103</v>
      </c>
      <c r="E40" s="144"/>
      <c r="F40" s="92"/>
      <c r="G40" s="92"/>
      <c r="H40" s="92"/>
      <c r="I40" s="92"/>
      <c r="J40" s="92"/>
      <c r="K40" s="92"/>
      <c r="L40" s="93"/>
    </row>
    <row r="41" spans="1:12" ht="18" customHeight="1">
      <c r="A41" s="189" t="s">
        <v>77</v>
      </c>
      <c r="B41" s="190">
        <v>300</v>
      </c>
      <c r="C41" s="188">
        <v>0.11516120000000001</v>
      </c>
      <c r="D41" s="182" t="s">
        <v>96</v>
      </c>
      <c r="E41" s="144"/>
      <c r="F41" s="92"/>
      <c r="G41" s="92"/>
      <c r="H41" s="92"/>
      <c r="I41" s="92"/>
      <c r="J41" s="92"/>
      <c r="K41" s="92"/>
      <c r="L41" s="93"/>
    </row>
    <row r="42" spans="1:12" ht="18" customHeight="1">
      <c r="A42" s="189" t="s">
        <v>76</v>
      </c>
      <c r="B42" s="190">
        <v>400</v>
      </c>
      <c r="C42" s="188">
        <v>0.1535482</v>
      </c>
      <c r="D42" s="182" t="s">
        <v>96</v>
      </c>
      <c r="E42" s="144"/>
      <c r="F42" s="92"/>
      <c r="G42" s="92"/>
      <c r="H42" s="92"/>
      <c r="I42" s="92"/>
      <c r="J42" s="92"/>
      <c r="K42" s="92"/>
      <c r="L42" s="93"/>
    </row>
    <row r="43" spans="1:12" ht="18" customHeight="1">
      <c r="A43" s="189" t="s">
        <v>74</v>
      </c>
      <c r="B43" s="190">
        <v>1200</v>
      </c>
      <c r="C43" s="188">
        <v>0.46064460000000002</v>
      </c>
      <c r="D43" s="182" t="s">
        <v>96</v>
      </c>
      <c r="E43" s="144"/>
      <c r="F43" s="92"/>
      <c r="G43" s="92"/>
      <c r="H43" s="92"/>
      <c r="I43" s="92"/>
      <c r="J43" s="92"/>
      <c r="K43" s="92"/>
      <c r="L43" s="93"/>
    </row>
    <row r="44" spans="1:12" ht="18" customHeight="1">
      <c r="A44" s="115"/>
      <c r="B44" s="117"/>
      <c r="C44" s="92"/>
      <c r="E44" s="92"/>
      <c r="F44" s="92"/>
      <c r="G44" s="92"/>
      <c r="H44" s="92"/>
      <c r="I44" s="92"/>
      <c r="J44" s="92"/>
      <c r="K44" s="92"/>
      <c r="L44" s="93"/>
    </row>
    <row r="45" spans="1:12" ht="18" customHeight="1">
      <c r="A45" s="115"/>
      <c r="B45" s="117"/>
      <c r="C45" s="92"/>
      <c r="E45" s="92"/>
      <c r="F45" s="92"/>
      <c r="G45" s="92"/>
      <c r="H45" s="92"/>
      <c r="I45" s="92"/>
      <c r="J45" s="92"/>
      <c r="K45" s="92"/>
      <c r="L45" s="93"/>
    </row>
    <row r="46" spans="1:12" ht="18" customHeight="1">
      <c r="A46" s="115"/>
      <c r="B46" s="117"/>
      <c r="C46" s="92"/>
      <c r="E46" s="92"/>
      <c r="F46" s="92"/>
      <c r="G46" s="92"/>
      <c r="H46" s="92"/>
      <c r="I46" s="92"/>
      <c r="J46" s="92"/>
      <c r="K46" s="92"/>
      <c r="L46" s="93"/>
    </row>
  </sheetData>
  <customSheetViews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topLeftCell="C1" zoomScale="120" zoomScaleNormal="120" workbookViewId="0">
      <selection activeCell="J20" sqref="J20"/>
    </sheetView>
  </sheetViews>
  <sheetFormatPr defaultColWidth="8.7109375" defaultRowHeight="12.75"/>
  <cols>
    <col min="1" max="1" width="41.7109375" style="91" customWidth="1"/>
    <col min="2" max="2" width="2.28515625" style="91" customWidth="1"/>
    <col min="3" max="10" width="10.28515625" style="91" customWidth="1"/>
    <col min="11" max="11" width="10.42578125" style="91" customWidth="1"/>
    <col min="12" max="12" width="45.28515625" style="91" customWidth="1"/>
    <col min="13" max="13" width="9.28515625" style="94" customWidth="1"/>
    <col min="14" max="88" width="8.7109375" style="94"/>
    <col min="89" max="16384" width="8.7109375" style="91"/>
  </cols>
  <sheetData>
    <row r="1" spans="1:255" s="92" customFormat="1" ht="15.75">
      <c r="D1" s="304"/>
      <c r="H1" s="304" t="s">
        <v>4</v>
      </c>
      <c r="I1" s="304"/>
      <c r="J1" s="304"/>
      <c r="K1" s="304"/>
      <c r="L1" s="30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</row>
    <row r="2" spans="1:255" s="92" customFormat="1"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</row>
    <row r="3" spans="1:255" s="92" customFormat="1" ht="23.25">
      <c r="G3" s="305" t="s">
        <v>39</v>
      </c>
      <c r="H3" s="305"/>
      <c r="I3" s="305"/>
      <c r="J3" s="305"/>
      <c r="K3" s="305"/>
      <c r="L3" s="305"/>
      <c r="M3" s="305"/>
      <c r="N3" s="305"/>
      <c r="O3" s="305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</row>
    <row r="4" spans="1:255" s="92" customFormat="1" ht="9.75" customHeight="1"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</row>
    <row r="5" spans="1:255" s="98" customFormat="1" ht="6.75" customHeight="1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>
      <c r="A6" s="99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255" s="101" customFormat="1">
      <c r="A7" s="100" t="s">
        <v>32</v>
      </c>
    </row>
    <row r="8" spans="1:255">
      <c r="A8" s="92"/>
      <c r="B8" s="92"/>
      <c r="C8" s="102"/>
      <c r="D8" s="92"/>
      <c r="E8" s="92"/>
      <c r="F8" s="92"/>
      <c r="G8" s="92"/>
      <c r="H8" s="92"/>
      <c r="I8" s="92"/>
      <c r="J8" s="92"/>
      <c r="K8" s="92"/>
      <c r="L8" s="92"/>
    </row>
    <row r="9" spans="1:255">
      <c r="A9" s="103" t="s">
        <v>9</v>
      </c>
      <c r="B9" s="103" t="s">
        <v>30</v>
      </c>
      <c r="C9" s="103" t="s">
        <v>215</v>
      </c>
      <c r="D9" s="92"/>
      <c r="E9" s="92"/>
      <c r="F9" s="92"/>
      <c r="G9" s="92"/>
      <c r="H9" s="92"/>
      <c r="I9" s="92"/>
      <c r="J9" s="92"/>
      <c r="K9" s="92"/>
      <c r="L9" s="92"/>
    </row>
    <row r="10" spans="1:255" ht="13.5" customHeight="1">
      <c r="A10" s="308" t="s">
        <v>388</v>
      </c>
      <c r="B10" s="103" t="s">
        <v>30</v>
      </c>
      <c r="C10" s="103" t="s">
        <v>389</v>
      </c>
      <c r="D10" s="92"/>
      <c r="E10" s="92"/>
      <c r="F10" s="92"/>
      <c r="G10" s="92"/>
      <c r="H10" s="92"/>
      <c r="I10" s="92"/>
      <c r="J10" s="92"/>
      <c r="K10" s="92"/>
      <c r="L10" s="92"/>
    </row>
    <row r="11" spans="1:255">
      <c r="A11" s="103" t="s">
        <v>383</v>
      </c>
      <c r="B11" s="103" t="s">
        <v>30</v>
      </c>
      <c r="C11" s="103" t="s">
        <v>293</v>
      </c>
      <c r="D11" s="92"/>
      <c r="E11" s="92"/>
      <c r="F11" s="92"/>
      <c r="G11" s="92"/>
      <c r="H11" s="92"/>
      <c r="I11" s="92"/>
      <c r="J11" s="92"/>
      <c r="K11" s="92"/>
      <c r="L11" s="92"/>
    </row>
    <row r="12" spans="1:255">
      <c r="A12" s="103"/>
      <c r="B12" s="103"/>
      <c r="C12" s="103" t="s">
        <v>294</v>
      </c>
      <c r="D12" s="92"/>
      <c r="E12" s="92"/>
      <c r="F12" s="92"/>
      <c r="G12" s="92"/>
      <c r="H12" s="92"/>
      <c r="I12" s="92"/>
      <c r="J12" s="92"/>
      <c r="K12" s="92"/>
      <c r="L12" s="92"/>
    </row>
    <row r="13" spans="1:255">
      <c r="A13" s="103" t="s">
        <v>13</v>
      </c>
      <c r="B13" s="103" t="s">
        <v>30</v>
      </c>
      <c r="C13" s="103" t="s">
        <v>194</v>
      </c>
      <c r="D13" s="92"/>
      <c r="E13" s="92"/>
      <c r="F13" s="92"/>
      <c r="G13" s="92"/>
      <c r="H13" s="92"/>
      <c r="I13" s="92"/>
      <c r="J13" s="92"/>
      <c r="K13" s="92"/>
      <c r="L13" s="92"/>
    </row>
    <row r="14" spans="1:255">
      <c r="A14" s="103" t="s">
        <v>42</v>
      </c>
      <c r="B14" s="103" t="s">
        <v>30</v>
      </c>
      <c r="C14" s="103" t="s">
        <v>53</v>
      </c>
      <c r="D14" s="92"/>
      <c r="E14" s="92"/>
      <c r="F14" s="92"/>
      <c r="G14" s="92"/>
      <c r="H14" s="92"/>
      <c r="I14" s="92"/>
      <c r="J14" s="92"/>
      <c r="K14" s="92"/>
      <c r="L14" s="92"/>
    </row>
    <row r="15" spans="1:255">
      <c r="A15" s="103" t="s">
        <v>193</v>
      </c>
      <c r="B15" s="103" t="s">
        <v>30</v>
      </c>
      <c r="C15" s="103" t="s">
        <v>199</v>
      </c>
      <c r="D15" s="92"/>
      <c r="E15" s="92"/>
      <c r="F15" s="92"/>
      <c r="G15" s="92"/>
      <c r="H15" s="92"/>
      <c r="I15" s="92"/>
      <c r="J15" s="92"/>
      <c r="K15" s="92"/>
      <c r="L15" s="92"/>
    </row>
    <row r="16" spans="1:255">
      <c r="A16" s="103" t="s">
        <v>51</v>
      </c>
      <c r="B16" s="103" t="s">
        <v>30</v>
      </c>
      <c r="C16" s="103" t="s">
        <v>52</v>
      </c>
      <c r="D16" s="92"/>
      <c r="E16" s="92"/>
      <c r="F16" s="92"/>
      <c r="G16" s="92"/>
      <c r="H16" s="92"/>
      <c r="I16" s="92"/>
      <c r="J16" s="92"/>
      <c r="K16" s="92"/>
      <c r="L16" s="92"/>
    </row>
    <row r="17" spans="1:12">
      <c r="A17" s="103" t="s">
        <v>29</v>
      </c>
      <c r="B17" s="103" t="s">
        <v>30</v>
      </c>
      <c r="C17" s="103" t="s">
        <v>43</v>
      </c>
      <c r="D17" s="92"/>
      <c r="E17" s="92"/>
      <c r="F17" s="92"/>
      <c r="G17" s="92"/>
      <c r="H17" s="92"/>
      <c r="I17" s="92"/>
      <c r="J17" s="92"/>
      <c r="K17" s="92"/>
      <c r="L17" s="92"/>
    </row>
    <row r="18" spans="1:12">
      <c r="A18" s="103" t="s">
        <v>35</v>
      </c>
      <c r="B18" s="103" t="s">
        <v>30</v>
      </c>
      <c r="C18" s="103" t="s">
        <v>44</v>
      </c>
      <c r="D18" s="92"/>
      <c r="E18" s="92"/>
      <c r="F18" s="92"/>
      <c r="G18" s="92"/>
      <c r="H18" s="92"/>
      <c r="I18" s="92"/>
      <c r="J18" s="92"/>
      <c r="K18" s="92"/>
      <c r="L18" s="92"/>
    </row>
    <row r="19" spans="1:12">
      <c r="A19" s="103" t="s">
        <v>34</v>
      </c>
      <c r="B19" s="103" t="s">
        <v>30</v>
      </c>
      <c r="C19" s="103" t="s">
        <v>45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>
      <c r="A20" s="103" t="s">
        <v>213</v>
      </c>
      <c r="B20" s="103" t="s">
        <v>30</v>
      </c>
      <c r="C20" s="103" t="s">
        <v>214</v>
      </c>
      <c r="D20" s="92"/>
      <c r="E20" s="92"/>
      <c r="F20" s="92"/>
      <c r="G20" s="92"/>
      <c r="H20" s="92"/>
      <c r="I20" s="92"/>
      <c r="J20" s="92"/>
      <c r="K20" s="92"/>
      <c r="L20" s="92"/>
    </row>
    <row r="21" spans="1:12">
      <c r="A21" s="104"/>
    </row>
    <row r="24" spans="1:12" ht="6" customHeight="1"/>
    <row r="26" spans="1:12">
      <c r="A26" s="105"/>
    </row>
    <row r="27" spans="1:12" ht="7.5" customHeight="1"/>
    <row r="251" spans="22:22">
      <c r="V251" s="94">
        <v>118</v>
      </c>
    </row>
    <row r="253" spans="22:22">
      <c r="V253" s="107">
        <v>-9.1999999999999998E-2</v>
      </c>
    </row>
  </sheetData>
  <dataConsolidate/>
  <customSheetViews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D72"/>
  <sheetViews>
    <sheetView showGridLines="0" tabSelected="1" zoomScale="110" zoomScaleNormal="110" zoomScaleSheetLayoutView="100" workbookViewId="0">
      <pane xSplit="1" ySplit="4" topLeftCell="B64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ColWidth="8.7109375" defaultRowHeight="12.75"/>
  <cols>
    <col min="1" max="1" width="48.42578125" customWidth="1"/>
    <col min="2" max="2" width="9" style="3" bestFit="1" customWidth="1"/>
    <col min="3" max="3" width="9.5703125" style="3" bestFit="1" customWidth="1"/>
    <col min="4" max="4" width="9.5703125" style="3" hidden="1" customWidth="1"/>
    <col min="5" max="8" width="8.7109375" style="3" hidden="1" customWidth="1"/>
    <col min="9" max="9" width="10.42578125" style="3" bestFit="1" customWidth="1"/>
    <col min="10" max="12" width="8.7109375" style="3"/>
    <col min="13" max="13" width="0" style="3" hidden="1" customWidth="1"/>
    <col min="14" max="18" width="8.7109375" style="3"/>
    <col min="19" max="19" width="0" style="3" hidden="1" customWidth="1"/>
    <col min="20" max="16384" width="8.7109375" style="3"/>
  </cols>
  <sheetData>
    <row r="1" spans="1:212">
      <c r="A1" s="29"/>
    </row>
    <row r="2" spans="1:212">
      <c r="A2" s="29"/>
    </row>
    <row r="3" spans="1:212" s="24" customFormat="1">
      <c r="A3" s="30"/>
      <c r="B3" s="45" t="s">
        <v>5</v>
      </c>
      <c r="C3" s="45" t="s">
        <v>5</v>
      </c>
      <c r="D3" s="45" t="s">
        <v>68</v>
      </c>
      <c r="E3" s="45" t="s">
        <v>0</v>
      </c>
      <c r="F3" s="45" t="s">
        <v>1</v>
      </c>
      <c r="G3" s="45" t="s">
        <v>380</v>
      </c>
      <c r="H3" s="45" t="s">
        <v>2</v>
      </c>
      <c r="I3" s="45" t="s">
        <v>5</v>
      </c>
      <c r="J3" s="45" t="s">
        <v>68</v>
      </c>
      <c r="K3" s="45" t="s">
        <v>0</v>
      </c>
      <c r="L3" s="45" t="s">
        <v>1</v>
      </c>
      <c r="M3" s="45" t="s">
        <v>380</v>
      </c>
      <c r="N3" s="45" t="s">
        <v>2</v>
      </c>
      <c r="O3" s="45" t="s">
        <v>5</v>
      </c>
      <c r="P3" s="45" t="s">
        <v>68</v>
      </c>
      <c r="Q3" s="45" t="s">
        <v>0</v>
      </c>
      <c r="R3" s="45" t="s">
        <v>1</v>
      </c>
      <c r="S3" s="45" t="s">
        <v>380</v>
      </c>
      <c r="T3" s="45" t="s">
        <v>2</v>
      </c>
      <c r="U3" s="45" t="s">
        <v>5</v>
      </c>
    </row>
    <row r="4" spans="1:212" s="49" customFormat="1" ht="12" customHeight="1">
      <c r="A4" s="237" t="s">
        <v>259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</row>
    <row r="5" spans="1:212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2" ht="20.25">
      <c r="A6" s="33" t="s">
        <v>261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2" ht="1.1499999999999999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2" s="323" customFormat="1" ht="11.25" customHeight="1">
      <c r="A8" s="328" t="s">
        <v>27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</row>
    <row r="9" spans="1:212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309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309">
        <v>6520</v>
      </c>
      <c r="N9" s="61">
        <v>2203</v>
      </c>
      <c r="O9" s="57">
        <v>8723</v>
      </c>
      <c r="P9" s="61">
        <v>2221</v>
      </c>
      <c r="Q9" s="61">
        <v>2200</v>
      </c>
      <c r="R9" s="61">
        <v>2142</v>
      </c>
      <c r="S9" s="309">
        <v>6563</v>
      </c>
      <c r="T9" s="61">
        <v>2258</v>
      </c>
      <c r="U9" s="57">
        <v>8821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</row>
    <row r="10" spans="1:212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310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310"/>
      <c r="N10" s="63">
        <v>1.1478420569329684E-2</v>
      </c>
      <c r="O10" s="23"/>
      <c r="P10" s="63">
        <v>8.1706763504312274E-3</v>
      </c>
      <c r="Q10" s="63">
        <v>-9.4552003601980905E-3</v>
      </c>
      <c r="R10" s="63">
        <v>-2.6363636363636367E-2</v>
      </c>
      <c r="S10" s="310"/>
      <c r="T10" s="63">
        <v>5.4154995331465949E-2</v>
      </c>
      <c r="U10" s="23"/>
    </row>
    <row r="11" spans="1:212" ht="10.9" customHeight="1">
      <c r="A11" s="62" t="s">
        <v>8</v>
      </c>
      <c r="B11" s="23"/>
      <c r="C11" s="23">
        <v>-4.7808764940239001E-2</v>
      </c>
      <c r="D11" s="64"/>
      <c r="E11" s="64"/>
      <c r="F11" s="64"/>
      <c r="G11" s="311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311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64">
        <v>-1.6528925619834656E-2</v>
      </c>
      <c r="S11" s="311">
        <v>6.5950920245398947E-3</v>
      </c>
      <c r="T11" s="64">
        <v>2.4965955515206639E-2</v>
      </c>
      <c r="U11" s="23">
        <v>1.1234666972371965E-2</v>
      </c>
    </row>
    <row r="12" spans="1:212" s="34" customFormat="1">
      <c r="A12" s="60" t="s">
        <v>209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309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309">
        <v>1374</v>
      </c>
      <c r="N12" s="61">
        <v>463</v>
      </c>
      <c r="O12" s="57">
        <v>1837</v>
      </c>
      <c r="P12" s="61">
        <v>476</v>
      </c>
      <c r="Q12" s="61">
        <v>465</v>
      </c>
      <c r="R12" s="61">
        <v>466</v>
      </c>
      <c r="S12" s="309">
        <v>1407</v>
      </c>
      <c r="T12" s="61">
        <v>482</v>
      </c>
      <c r="U12" s="57">
        <v>1889</v>
      </c>
    </row>
    <row r="13" spans="1:212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310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310"/>
      <c r="N13" s="63">
        <v>-2.1551724137931494E-3</v>
      </c>
      <c r="O13" s="23"/>
      <c r="P13" s="63">
        <v>2.8077753779697678E-2</v>
      </c>
      <c r="Q13" s="63">
        <v>-2.3109243697479021E-2</v>
      </c>
      <c r="R13" s="63">
        <v>2.1505376344086446E-3</v>
      </c>
      <c r="S13" s="310"/>
      <c r="T13" s="63">
        <v>3.4334763948497882E-2</v>
      </c>
      <c r="U13" s="23"/>
    </row>
    <row r="14" spans="1:212" ht="10.9" customHeight="1">
      <c r="A14" s="62" t="s">
        <v>8</v>
      </c>
      <c r="B14" s="23"/>
      <c r="C14" s="23">
        <v>0.27638483965014582</v>
      </c>
      <c r="D14" s="63"/>
      <c r="E14" s="63"/>
      <c r="F14" s="63"/>
      <c r="G14" s="310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311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64">
        <v>4.3103448275862988E-3</v>
      </c>
      <c r="S14" s="311">
        <v>2.4017467248908186E-2</v>
      </c>
      <c r="T14" s="64">
        <v>4.1036717062634898E-2</v>
      </c>
      <c r="U14" s="23">
        <v>2.8307022318998287E-2</v>
      </c>
    </row>
    <row r="15" spans="1:212">
      <c r="A15" s="60" t="s">
        <v>59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309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309">
        <v>1397</v>
      </c>
      <c r="N15" s="61">
        <v>494</v>
      </c>
      <c r="O15" s="57">
        <v>1891</v>
      </c>
      <c r="P15" s="61">
        <v>480</v>
      </c>
      <c r="Q15" s="61">
        <v>467</v>
      </c>
      <c r="R15" s="61">
        <v>468</v>
      </c>
      <c r="S15" s="309">
        <v>1415</v>
      </c>
      <c r="T15" s="61">
        <v>467</v>
      </c>
      <c r="U15" s="57">
        <v>1882</v>
      </c>
    </row>
    <row r="16" spans="1:212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310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310"/>
      <c r="N16" s="63">
        <v>4.2194092827004148E-2</v>
      </c>
      <c r="O16" s="23"/>
      <c r="P16" s="63">
        <v>-2.8340080971659964E-2</v>
      </c>
      <c r="Q16" s="63">
        <v>-2.7083333333333348E-2</v>
      </c>
      <c r="R16" s="63">
        <v>2.1413276231263545E-3</v>
      </c>
      <c r="S16" s="310"/>
      <c r="T16" s="63">
        <v>-2.1367521367521292E-3</v>
      </c>
      <c r="U16" s="23"/>
    </row>
    <row r="17" spans="1:21" ht="10.15" customHeight="1">
      <c r="A17" s="62" t="s">
        <v>8</v>
      </c>
      <c r="B17" s="23"/>
      <c r="C17" s="23">
        <v>-6.4837905236907467E-3</v>
      </c>
      <c r="D17" s="64"/>
      <c r="E17" s="64"/>
      <c r="F17" s="64"/>
      <c r="G17" s="311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311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64">
        <v>-1.2658227848101222E-2</v>
      </c>
      <c r="S17" s="311">
        <v>1.2884753042233354E-2</v>
      </c>
      <c r="T17" s="64">
        <v>-5.4655870445344146E-2</v>
      </c>
      <c r="U17" s="23">
        <v>-4.7593865679534941E-3</v>
      </c>
    </row>
    <row r="18" spans="1:21">
      <c r="A18" s="60" t="s">
        <v>206</v>
      </c>
      <c r="B18" s="159">
        <v>-19</v>
      </c>
      <c r="C18" s="159">
        <v>634</v>
      </c>
      <c r="D18" s="165">
        <v>-25</v>
      </c>
      <c r="E18" s="165">
        <v>-414</v>
      </c>
      <c r="F18" s="165">
        <v>39</v>
      </c>
      <c r="G18" s="312">
        <v>-400</v>
      </c>
      <c r="H18" s="61">
        <v>179</v>
      </c>
      <c r="I18" s="159">
        <v>-221</v>
      </c>
      <c r="J18" s="165">
        <v>-3</v>
      </c>
      <c r="K18" s="165">
        <v>-19</v>
      </c>
      <c r="L18" s="165">
        <v>-7</v>
      </c>
      <c r="M18" s="312">
        <v>-29</v>
      </c>
      <c r="N18" s="165">
        <v>103</v>
      </c>
      <c r="O18" s="159">
        <v>74</v>
      </c>
      <c r="P18" s="165">
        <v>-152</v>
      </c>
      <c r="Q18" s="165">
        <v>2</v>
      </c>
      <c r="R18" s="165">
        <v>7</v>
      </c>
      <c r="S18" s="312">
        <v>-143</v>
      </c>
      <c r="T18" s="165">
        <v>66</v>
      </c>
      <c r="U18" s="159">
        <v>-77</v>
      </c>
    </row>
    <row r="19" spans="1:21">
      <c r="A19" s="60"/>
      <c r="B19" s="159"/>
      <c r="C19" s="159"/>
      <c r="D19" s="165"/>
      <c r="E19" s="165"/>
      <c r="F19" s="165"/>
      <c r="G19" s="312"/>
      <c r="H19" s="165"/>
      <c r="I19" s="159"/>
      <c r="J19" s="165"/>
      <c r="K19" s="165"/>
      <c r="L19" s="165"/>
      <c r="M19" s="310"/>
      <c r="N19" s="165"/>
      <c r="O19" s="159"/>
      <c r="P19" s="165"/>
      <c r="Q19" s="165"/>
      <c r="R19" s="165"/>
      <c r="S19" s="310"/>
      <c r="T19" s="165"/>
      <c r="U19" s="159"/>
    </row>
    <row r="20" spans="1:21" ht="15.75" customHeight="1">
      <c r="A20" s="79" t="s">
        <v>278</v>
      </c>
      <c r="B20" s="159">
        <v>87</v>
      </c>
      <c r="C20" s="159">
        <v>1675</v>
      </c>
      <c r="D20" s="61">
        <v>0</v>
      </c>
      <c r="E20" s="165">
        <v>951</v>
      </c>
      <c r="F20" s="61">
        <v>0</v>
      </c>
      <c r="G20" s="309">
        <v>951</v>
      </c>
      <c r="H20" s="61">
        <v>196</v>
      </c>
      <c r="I20" s="159">
        <v>1147</v>
      </c>
      <c r="J20" s="61">
        <v>0</v>
      </c>
      <c r="K20" s="61">
        <v>0</v>
      </c>
      <c r="L20" s="165">
        <v>268</v>
      </c>
      <c r="M20" s="309">
        <v>268</v>
      </c>
      <c r="N20" s="61">
        <v>25</v>
      </c>
      <c r="O20" s="159">
        <v>293</v>
      </c>
      <c r="P20" s="61">
        <v>0</v>
      </c>
      <c r="Q20" s="61">
        <v>0</v>
      </c>
      <c r="R20" s="61">
        <v>0</v>
      </c>
      <c r="S20" s="309">
        <v>0</v>
      </c>
      <c r="T20" s="61">
        <v>0</v>
      </c>
      <c r="U20" s="55">
        <v>0</v>
      </c>
    </row>
    <row r="21" spans="1:21" customFormat="1" ht="7.5" customHeight="1">
      <c r="A21" s="328"/>
      <c r="B21" s="316"/>
      <c r="C21" s="316"/>
      <c r="D21" s="316"/>
      <c r="E21" s="316"/>
      <c r="F21" s="322"/>
      <c r="G21" s="316"/>
      <c r="H21" s="316"/>
      <c r="I21" s="316"/>
      <c r="J21" s="316"/>
      <c r="K21" s="322"/>
      <c r="L21" s="316"/>
      <c r="M21" s="316"/>
      <c r="N21" s="316"/>
      <c r="O21" s="316"/>
      <c r="P21" s="316"/>
      <c r="Q21" s="322"/>
      <c r="R21" s="316"/>
      <c r="S21" s="316"/>
      <c r="T21" s="316"/>
      <c r="U21" s="316"/>
    </row>
    <row r="22" spans="1:21" s="34" customFormat="1" ht="16.5" customHeight="1">
      <c r="A22" s="60" t="s">
        <v>204</v>
      </c>
      <c r="B22" s="57">
        <v>2098</v>
      </c>
      <c r="C22" s="159">
        <v>-582</v>
      </c>
      <c r="D22" s="165">
        <v>504</v>
      </c>
      <c r="E22" s="165">
        <v>-102</v>
      </c>
      <c r="F22" s="165">
        <v>440</v>
      </c>
      <c r="G22" s="309">
        <v>842</v>
      </c>
      <c r="H22" s="61">
        <v>8</v>
      </c>
      <c r="I22" s="159">
        <v>850</v>
      </c>
      <c r="J22" s="165">
        <v>459</v>
      </c>
      <c r="K22" s="165">
        <v>511</v>
      </c>
      <c r="L22" s="165">
        <v>189</v>
      </c>
      <c r="M22" s="309">
        <v>1159</v>
      </c>
      <c r="N22" s="165">
        <v>296</v>
      </c>
      <c r="O22" s="159">
        <v>1455</v>
      </c>
      <c r="P22" s="165">
        <v>586</v>
      </c>
      <c r="Q22" s="165">
        <v>469</v>
      </c>
      <c r="R22" s="165">
        <v>459</v>
      </c>
      <c r="S22" s="309">
        <v>1514</v>
      </c>
      <c r="T22" s="165">
        <v>356</v>
      </c>
      <c r="U22" s="159">
        <v>1870</v>
      </c>
    </row>
    <row r="23" spans="1:21">
      <c r="A23" s="62" t="s">
        <v>7</v>
      </c>
      <c r="B23" s="23"/>
      <c r="C23" s="23"/>
      <c r="D23" s="75"/>
      <c r="E23" s="75" t="s">
        <v>34</v>
      </c>
      <c r="F23" s="75" t="s">
        <v>34</v>
      </c>
      <c r="G23" s="313"/>
      <c r="H23" s="63">
        <v>-0.98181818181818181</v>
      </c>
      <c r="I23" s="23"/>
      <c r="J23" s="75" t="s">
        <v>34</v>
      </c>
      <c r="K23" s="63">
        <v>0.11328976034858385</v>
      </c>
      <c r="L23" s="63">
        <v>-0.63013698630136994</v>
      </c>
      <c r="M23" s="310"/>
      <c r="N23" s="63">
        <v>0.56613756613756605</v>
      </c>
      <c r="O23" s="23"/>
      <c r="P23" s="63">
        <v>0.97972972972972983</v>
      </c>
      <c r="Q23" s="63">
        <v>-0.19965870307167233</v>
      </c>
      <c r="R23" s="63">
        <v>-2.1321961620469065E-2</v>
      </c>
      <c r="S23" s="310"/>
      <c r="T23" s="63">
        <v>-0.22440087145969501</v>
      </c>
      <c r="U23" s="23"/>
    </row>
    <row r="24" spans="1:21" ht="10.15" customHeight="1">
      <c r="A24" s="62" t="s">
        <v>8</v>
      </c>
      <c r="B24" s="23"/>
      <c r="C24" s="82" t="s">
        <v>34</v>
      </c>
      <c r="D24" s="64"/>
      <c r="E24" s="75"/>
      <c r="F24" s="64"/>
      <c r="G24" s="311"/>
      <c r="H24" s="75"/>
      <c r="I24" s="82" t="s">
        <v>34</v>
      </c>
      <c r="J24" s="64">
        <v>-8.9285714285714302E-2</v>
      </c>
      <c r="K24" s="75" t="s">
        <v>34</v>
      </c>
      <c r="L24" s="64">
        <v>-0.57045454545454544</v>
      </c>
      <c r="M24" s="311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64">
        <v>1.4285714285714284</v>
      </c>
      <c r="S24" s="311">
        <v>0.3062985332182917</v>
      </c>
      <c r="T24" s="64">
        <v>0.20270270270270263</v>
      </c>
      <c r="U24" s="23">
        <v>0.2852233676975946</v>
      </c>
    </row>
    <row r="25" spans="1:21">
      <c r="A25" s="60" t="s">
        <v>67</v>
      </c>
      <c r="B25" s="57">
        <v>417</v>
      </c>
      <c r="C25" s="57">
        <v>435</v>
      </c>
      <c r="D25" s="61">
        <v>99</v>
      </c>
      <c r="E25" s="61">
        <v>136</v>
      </c>
      <c r="F25" s="61">
        <v>205</v>
      </c>
      <c r="G25" s="309">
        <v>440</v>
      </c>
      <c r="H25" s="61">
        <v>109</v>
      </c>
      <c r="I25" s="57">
        <v>549</v>
      </c>
      <c r="J25" s="61">
        <v>34</v>
      </c>
      <c r="K25" s="61">
        <v>159</v>
      </c>
      <c r="L25" s="61">
        <v>80</v>
      </c>
      <c r="M25" s="309">
        <v>273</v>
      </c>
      <c r="N25" s="165">
        <v>98</v>
      </c>
      <c r="O25" s="57">
        <v>371</v>
      </c>
      <c r="P25" s="61">
        <v>51</v>
      </c>
      <c r="Q25" s="61">
        <v>84</v>
      </c>
      <c r="R25" s="61">
        <v>100</v>
      </c>
      <c r="S25" s="309">
        <v>235</v>
      </c>
      <c r="T25" s="165">
        <v>70</v>
      </c>
      <c r="U25" s="57">
        <v>305</v>
      </c>
    </row>
    <row r="26" spans="1:21">
      <c r="A26" s="62" t="s">
        <v>7</v>
      </c>
      <c r="B26" s="23"/>
      <c r="C26" s="23"/>
      <c r="D26" s="63"/>
      <c r="E26" s="63">
        <v>0.3737373737373737</v>
      </c>
      <c r="F26" s="63">
        <v>0.50735294117647056</v>
      </c>
      <c r="G26" s="310"/>
      <c r="H26" s="63">
        <v>-0.46829268292682924</v>
      </c>
      <c r="I26" s="23"/>
      <c r="J26" s="63">
        <v>-0.68807339449541283</v>
      </c>
      <c r="K26" s="63">
        <v>3.6764705882352944</v>
      </c>
      <c r="L26" s="63">
        <v>-0.49685534591194969</v>
      </c>
      <c r="M26" s="310"/>
      <c r="N26" s="63">
        <v>0.22500000000000009</v>
      </c>
      <c r="O26" s="23"/>
      <c r="P26" s="63">
        <v>-0.47959183673469385</v>
      </c>
      <c r="Q26" s="63">
        <v>0.64705882352941169</v>
      </c>
      <c r="R26" s="63">
        <v>0.19047619047619047</v>
      </c>
      <c r="S26" s="310"/>
      <c r="T26" s="63">
        <v>-0.30000000000000004</v>
      </c>
      <c r="U26" s="23"/>
    </row>
    <row r="27" spans="1:21" ht="10.9" customHeight="1">
      <c r="A27" s="62" t="s">
        <v>8</v>
      </c>
      <c r="B27" s="82"/>
      <c r="C27" s="82">
        <v>4.3165467625899234E-2</v>
      </c>
      <c r="D27" s="64"/>
      <c r="E27" s="64"/>
      <c r="F27" s="64"/>
      <c r="G27" s="311"/>
      <c r="H27" s="64"/>
      <c r="I27" s="82">
        <v>0.26206896551724146</v>
      </c>
      <c r="J27" s="64">
        <v>-0.65656565656565657</v>
      </c>
      <c r="K27" s="64">
        <v>0.16911764705882359</v>
      </c>
      <c r="L27" s="64">
        <v>-0.6097560975609756</v>
      </c>
      <c r="M27" s="311">
        <v>-0.37954545454545452</v>
      </c>
      <c r="N27" s="64">
        <v>-0.1009174311926605</v>
      </c>
      <c r="O27" s="82">
        <v>-0.32422586520947172</v>
      </c>
      <c r="P27" s="64">
        <v>0.5</v>
      </c>
      <c r="Q27" s="64">
        <v>-0.47169811320754718</v>
      </c>
      <c r="R27" s="64">
        <v>0.25</v>
      </c>
      <c r="S27" s="311">
        <v>-0.13919413919413914</v>
      </c>
      <c r="T27" s="64">
        <v>-0.2857142857142857</v>
      </c>
      <c r="U27" s="82">
        <v>-0.17789757412398921</v>
      </c>
    </row>
    <row r="28" spans="1:21">
      <c r="A28" s="60" t="s">
        <v>148</v>
      </c>
      <c r="B28" s="57">
        <v>453</v>
      </c>
      <c r="C28" s="57">
        <v>72</v>
      </c>
      <c r="D28" s="61">
        <v>110</v>
      </c>
      <c r="E28" s="61">
        <v>1340</v>
      </c>
      <c r="F28" s="61">
        <v>56</v>
      </c>
      <c r="G28" s="309">
        <v>1506</v>
      </c>
      <c r="H28" s="165">
        <v>-13</v>
      </c>
      <c r="I28" s="57">
        <v>1493</v>
      </c>
      <c r="J28" s="61">
        <v>98</v>
      </c>
      <c r="K28" s="61">
        <v>83</v>
      </c>
      <c r="L28" s="61">
        <v>83</v>
      </c>
      <c r="M28" s="309">
        <v>264</v>
      </c>
      <c r="N28" s="165">
        <v>24</v>
      </c>
      <c r="O28" s="57">
        <v>288</v>
      </c>
      <c r="P28" s="61">
        <v>127</v>
      </c>
      <c r="Q28" s="61">
        <v>91</v>
      </c>
      <c r="R28" s="61">
        <v>75</v>
      </c>
      <c r="S28" s="309">
        <v>293</v>
      </c>
      <c r="T28" s="165">
        <v>89</v>
      </c>
      <c r="U28" s="57">
        <v>382</v>
      </c>
    </row>
    <row r="29" spans="1:21" ht="10.9" customHeight="1">
      <c r="A29" s="62" t="s">
        <v>7</v>
      </c>
      <c r="B29" s="23"/>
      <c r="C29" s="23"/>
      <c r="D29" s="75"/>
      <c r="E29" s="63"/>
      <c r="F29" s="63">
        <v>-0.95820895522388061</v>
      </c>
      <c r="G29" s="310"/>
      <c r="H29" s="63">
        <v>-1.2321428571428572</v>
      </c>
      <c r="I29" s="23"/>
      <c r="J29" s="63">
        <v>-8.5384615384615383</v>
      </c>
      <c r="K29" s="63">
        <v>-0.15306122448979587</v>
      </c>
      <c r="L29" s="63">
        <v>0</v>
      </c>
      <c r="M29" s="310"/>
      <c r="N29" s="63">
        <v>-0.71084337349397586</v>
      </c>
      <c r="O29" s="23"/>
      <c r="P29" s="63">
        <v>4.291666666666667</v>
      </c>
      <c r="Q29" s="63">
        <v>-0.28346456692913391</v>
      </c>
      <c r="R29" s="63">
        <v>-0.17582417582417587</v>
      </c>
      <c r="S29" s="310"/>
      <c r="T29" s="63">
        <v>0.18666666666666676</v>
      </c>
      <c r="U29" s="23"/>
    </row>
    <row r="30" spans="1:21" ht="11.45" customHeight="1">
      <c r="A30" s="62" t="s">
        <v>8</v>
      </c>
      <c r="B30" s="23"/>
      <c r="C30" s="23">
        <v>-0.84105960264900659</v>
      </c>
      <c r="D30" s="64"/>
      <c r="E30" s="64"/>
      <c r="F30" s="64"/>
      <c r="G30" s="311"/>
      <c r="H30" s="75"/>
      <c r="I30" s="23"/>
      <c r="J30" s="64">
        <v>-0.10909090909090913</v>
      </c>
      <c r="K30" s="64">
        <v>-0.93805970149253737</v>
      </c>
      <c r="L30" s="64">
        <v>0.48214285714285721</v>
      </c>
      <c r="M30" s="311">
        <v>-0.82470119521912344</v>
      </c>
      <c r="N30" s="75" t="s">
        <v>34</v>
      </c>
      <c r="O30" s="23">
        <v>-0.80709979906229068</v>
      </c>
      <c r="P30" s="64">
        <v>0.29591836734693877</v>
      </c>
      <c r="Q30" s="64">
        <v>9.6385542168674787E-2</v>
      </c>
      <c r="R30" s="64">
        <v>-9.6385542168674676E-2</v>
      </c>
      <c r="S30" s="311">
        <v>0.10984848484848486</v>
      </c>
      <c r="T30" s="64">
        <v>2.7083333333333335</v>
      </c>
      <c r="U30" s="23">
        <v>0.32638888888888884</v>
      </c>
    </row>
    <row r="31" spans="1:21" s="34" customFormat="1">
      <c r="A31" s="60" t="s">
        <v>260</v>
      </c>
      <c r="B31" s="57">
        <v>1223</v>
      </c>
      <c r="C31" s="159">
        <v>-1092</v>
      </c>
      <c r="D31" s="61">
        <v>295</v>
      </c>
      <c r="E31" s="165">
        <v>-1579</v>
      </c>
      <c r="F31" s="165">
        <v>177</v>
      </c>
      <c r="G31" s="312">
        <v>-1107</v>
      </c>
      <c r="H31" s="165">
        <v>-87</v>
      </c>
      <c r="I31" s="159">
        <v>-1194</v>
      </c>
      <c r="J31" s="61">
        <v>327</v>
      </c>
      <c r="K31" s="165">
        <v>269</v>
      </c>
      <c r="L31" s="165">
        <v>26</v>
      </c>
      <c r="M31" s="309">
        <v>622</v>
      </c>
      <c r="N31" s="165">
        <v>174</v>
      </c>
      <c r="O31" s="159">
        <v>796</v>
      </c>
      <c r="P31" s="61">
        <v>408</v>
      </c>
      <c r="Q31" s="165">
        <v>294</v>
      </c>
      <c r="R31" s="165">
        <v>284</v>
      </c>
      <c r="S31" s="309">
        <v>986</v>
      </c>
      <c r="T31" s="165">
        <v>197</v>
      </c>
      <c r="U31" s="159">
        <v>1183</v>
      </c>
    </row>
    <row r="32" spans="1:21" ht="12.6" customHeight="1">
      <c r="A32" s="62" t="s">
        <v>7</v>
      </c>
      <c r="B32" s="23"/>
      <c r="C32" s="23"/>
      <c r="D32" s="75"/>
      <c r="E32" s="75" t="s">
        <v>34</v>
      </c>
      <c r="F32" s="75" t="s">
        <v>34</v>
      </c>
      <c r="G32" s="313"/>
      <c r="H32" s="75" t="s">
        <v>34</v>
      </c>
      <c r="I32" s="23"/>
      <c r="J32" s="75" t="s">
        <v>34</v>
      </c>
      <c r="K32" s="63">
        <v>-0.17737003058103973</v>
      </c>
      <c r="L32" s="63">
        <v>-0.90334572490706322</v>
      </c>
      <c r="M32" s="310"/>
      <c r="N32" s="63">
        <v>5.6923076923076925</v>
      </c>
      <c r="O32" s="23"/>
      <c r="P32" s="63">
        <v>1.3448275862068964</v>
      </c>
      <c r="Q32" s="63">
        <v>-0.27941176470588236</v>
      </c>
      <c r="R32" s="63">
        <v>-3.4013605442176909E-2</v>
      </c>
      <c r="S32" s="310"/>
      <c r="T32" s="63">
        <v>-0.30633802816901412</v>
      </c>
      <c r="U32" s="23"/>
    </row>
    <row r="33" spans="1:21" ht="12" customHeight="1">
      <c r="A33" s="62" t="s">
        <v>8</v>
      </c>
      <c r="B33" s="23"/>
      <c r="C33" s="82" t="s">
        <v>34</v>
      </c>
      <c r="D33" s="64"/>
      <c r="E33" s="75"/>
      <c r="F33" s="64"/>
      <c r="G33" s="311"/>
      <c r="H33" s="64"/>
      <c r="I33" s="23">
        <v>9.3406593406593297E-2</v>
      </c>
      <c r="J33" s="64">
        <v>0.10847457627118651</v>
      </c>
      <c r="K33" s="75" t="s">
        <v>34</v>
      </c>
      <c r="L33" s="64">
        <v>-0.85310734463276838</v>
      </c>
      <c r="M33" s="311">
        <v>-1.5618789521228544</v>
      </c>
      <c r="N33" s="75" t="s">
        <v>34</v>
      </c>
      <c r="O33" s="82" t="s">
        <v>34</v>
      </c>
      <c r="P33" s="64">
        <v>0.24770642201834869</v>
      </c>
      <c r="Q33" s="64">
        <v>9.2936802973977661E-2</v>
      </c>
      <c r="R33" s="64">
        <v>9.9230769230769234</v>
      </c>
      <c r="S33" s="311">
        <v>0.58520900321543401</v>
      </c>
      <c r="T33" s="64">
        <v>0.13218390804597702</v>
      </c>
      <c r="U33" s="23">
        <v>0.48618090452261309</v>
      </c>
    </row>
    <row r="34" spans="1:21" ht="15.75" customHeight="1">
      <c r="A34" s="200" t="s">
        <v>291</v>
      </c>
      <c r="B34" s="57">
        <v>1295.56</v>
      </c>
      <c r="C34" s="57">
        <v>961.09</v>
      </c>
      <c r="D34" s="195">
        <v>285.64</v>
      </c>
      <c r="E34" s="195">
        <v>217.15000000000009</v>
      </c>
      <c r="F34" s="195">
        <v>207.26</v>
      </c>
      <c r="G34" s="309">
        <v>710.05000000000007</v>
      </c>
      <c r="H34" s="195">
        <v>203.36000000000007</v>
      </c>
      <c r="I34" s="57">
        <v>913.41000000000008</v>
      </c>
      <c r="J34" s="195">
        <v>325</v>
      </c>
      <c r="K34" s="195">
        <v>252</v>
      </c>
      <c r="L34" s="195">
        <v>290.14999999999998</v>
      </c>
      <c r="M34" s="309">
        <v>867.15</v>
      </c>
      <c r="N34" s="195">
        <v>277.07</v>
      </c>
      <c r="O34" s="159">
        <v>1144.22</v>
      </c>
      <c r="P34" s="195">
        <v>299</v>
      </c>
      <c r="Q34" s="195">
        <v>304</v>
      </c>
      <c r="R34" s="195">
        <v>295.16000000000003</v>
      </c>
      <c r="S34" s="309">
        <v>898.16000000000008</v>
      </c>
      <c r="T34" s="195">
        <v>255.92000000000002</v>
      </c>
      <c r="U34" s="159">
        <v>1154.0800000000002</v>
      </c>
    </row>
    <row r="35" spans="1:21" s="34" customFormat="1" ht="18.75" customHeight="1">
      <c r="A35" s="60" t="s">
        <v>150</v>
      </c>
      <c r="B35" s="57">
        <v>3813</v>
      </c>
      <c r="C35" s="57">
        <v>1607</v>
      </c>
      <c r="D35" s="67">
        <v>970</v>
      </c>
      <c r="E35" s="67">
        <v>376</v>
      </c>
      <c r="F35" s="67">
        <v>921</v>
      </c>
      <c r="G35" s="309">
        <v>2267</v>
      </c>
      <c r="H35" s="61">
        <v>495</v>
      </c>
      <c r="I35" s="57">
        <v>2762</v>
      </c>
      <c r="J35" s="67">
        <v>910</v>
      </c>
      <c r="K35" s="67">
        <v>970</v>
      </c>
      <c r="L35" s="67">
        <v>653</v>
      </c>
      <c r="M35" s="309">
        <v>2533</v>
      </c>
      <c r="N35" s="165">
        <v>759</v>
      </c>
      <c r="O35" s="159">
        <v>3292</v>
      </c>
      <c r="P35" s="67">
        <v>1062</v>
      </c>
      <c r="Q35" s="67">
        <v>934</v>
      </c>
      <c r="R35" s="67">
        <v>925</v>
      </c>
      <c r="S35" s="309">
        <v>2921</v>
      </c>
      <c r="T35" s="165">
        <v>838</v>
      </c>
      <c r="U35" s="159">
        <v>3759</v>
      </c>
    </row>
    <row r="36" spans="1:21" ht="10.15" customHeight="1">
      <c r="A36" s="62" t="s">
        <v>7</v>
      </c>
      <c r="B36" s="23"/>
      <c r="C36" s="23"/>
      <c r="D36" s="75"/>
      <c r="E36" s="63">
        <v>-0.6123711340206186</v>
      </c>
      <c r="F36" s="63">
        <v>1.4494680851063828</v>
      </c>
      <c r="G36" s="310"/>
      <c r="H36" s="63">
        <v>-0.46254071661237783</v>
      </c>
      <c r="I36" s="23"/>
      <c r="J36" s="63">
        <v>0.83838383838383845</v>
      </c>
      <c r="K36" s="63">
        <v>6.5934065934065922E-2</v>
      </c>
      <c r="L36" s="63">
        <v>-0.32680412371134016</v>
      </c>
      <c r="M36" s="310"/>
      <c r="N36" s="63">
        <v>0.16232771822358338</v>
      </c>
      <c r="O36" s="23"/>
      <c r="P36" s="63">
        <v>0.39920948616600782</v>
      </c>
      <c r="Q36" s="63">
        <v>-0.12052730696798497</v>
      </c>
      <c r="R36" s="63">
        <v>-9.6359743040684842E-3</v>
      </c>
      <c r="S36" s="310"/>
      <c r="T36" s="63">
        <v>-9.4054054054054093E-2</v>
      </c>
      <c r="U36" s="23"/>
    </row>
    <row r="37" spans="1:21" ht="10.15" customHeight="1">
      <c r="A37" s="62" t="s">
        <v>8</v>
      </c>
      <c r="B37" s="23"/>
      <c r="C37" s="23">
        <v>-0.57854707579333864</v>
      </c>
      <c r="D37" s="64"/>
      <c r="E37" s="64"/>
      <c r="F37" s="64"/>
      <c r="G37" s="311"/>
      <c r="H37" s="75"/>
      <c r="I37" s="23">
        <v>0.71873055382700679</v>
      </c>
      <c r="J37" s="64">
        <v>-6.1855670103092786E-2</v>
      </c>
      <c r="K37" s="64">
        <v>1.5797872340425534</v>
      </c>
      <c r="L37" s="64">
        <v>-0.29098805646036918</v>
      </c>
      <c r="M37" s="311">
        <v>0.11733568592853993</v>
      </c>
      <c r="N37" s="64">
        <v>0.53333333333333344</v>
      </c>
      <c r="O37" s="23">
        <v>0.19188993482983352</v>
      </c>
      <c r="P37" s="64">
        <v>0.16703296703296711</v>
      </c>
      <c r="Q37" s="64">
        <v>-3.7113402061855649E-2</v>
      </c>
      <c r="R37" s="64">
        <v>0.41653905053598783</v>
      </c>
      <c r="S37" s="311">
        <v>0.15317804974338722</v>
      </c>
      <c r="T37" s="64">
        <v>0.10408432147562574</v>
      </c>
      <c r="U37" s="23">
        <v>0.14185905224787354</v>
      </c>
    </row>
    <row r="38" spans="1:21" ht="11.25" customHeight="1">
      <c r="A38" s="79" t="s">
        <v>290</v>
      </c>
      <c r="B38" s="159">
        <v>3881</v>
      </c>
      <c r="C38" s="159">
        <v>3916</v>
      </c>
      <c r="D38" s="67">
        <v>945</v>
      </c>
      <c r="E38" s="67">
        <v>913</v>
      </c>
      <c r="F38" s="67">
        <v>960</v>
      </c>
      <c r="G38" s="309">
        <v>2818</v>
      </c>
      <c r="H38" s="67">
        <v>870</v>
      </c>
      <c r="I38" s="159">
        <v>3688</v>
      </c>
      <c r="J38" s="67">
        <v>907</v>
      </c>
      <c r="K38" s="67">
        <v>951</v>
      </c>
      <c r="L38" s="67">
        <v>914</v>
      </c>
      <c r="M38" s="309">
        <v>2772</v>
      </c>
      <c r="N38" s="165">
        <v>887</v>
      </c>
      <c r="O38" s="159">
        <v>3659</v>
      </c>
      <c r="P38" s="67">
        <v>918</v>
      </c>
      <c r="Q38" s="67">
        <v>944</v>
      </c>
      <c r="R38" s="67">
        <v>938</v>
      </c>
      <c r="S38" s="309">
        <v>2800</v>
      </c>
      <c r="T38" s="165">
        <v>909</v>
      </c>
      <c r="U38" s="159">
        <v>3709</v>
      </c>
    </row>
    <row r="39" spans="1:21" ht="10.9" customHeight="1">
      <c r="A39" s="62" t="s">
        <v>7</v>
      </c>
      <c r="B39" s="23"/>
      <c r="C39" s="23"/>
      <c r="D39" s="63"/>
      <c r="E39" s="63">
        <v>-3.3862433862433816E-2</v>
      </c>
      <c r="F39" s="63">
        <v>5.1478641840087658E-2</v>
      </c>
      <c r="G39" s="310"/>
      <c r="H39" s="63">
        <v>-9.375E-2</v>
      </c>
      <c r="I39" s="23"/>
      <c r="J39" s="63">
        <v>4.2528735632183956E-2</v>
      </c>
      <c r="K39" s="63">
        <v>4.8511576626240283E-2</v>
      </c>
      <c r="L39" s="63">
        <v>-3.8906414300736047E-2</v>
      </c>
      <c r="M39" s="310"/>
      <c r="N39" s="63">
        <v>-2.9540481400437635E-2</v>
      </c>
      <c r="O39" s="23"/>
      <c r="P39" s="63">
        <v>3.4949267192784683E-2</v>
      </c>
      <c r="Q39" s="63">
        <v>2.8322440087146017E-2</v>
      </c>
      <c r="R39" s="63">
        <v>-6.3559322033898136E-3</v>
      </c>
      <c r="S39" s="310"/>
      <c r="T39" s="63">
        <v>-3.0916844349680117E-2</v>
      </c>
      <c r="U39" s="23"/>
    </row>
    <row r="40" spans="1:21" ht="10.9" customHeight="1">
      <c r="A40" s="62" t="s">
        <v>8</v>
      </c>
      <c r="B40" s="23"/>
      <c r="C40" s="23">
        <v>9.0182942540582012E-3</v>
      </c>
      <c r="D40" s="64"/>
      <c r="E40" s="64"/>
      <c r="F40" s="64"/>
      <c r="G40" s="311"/>
      <c r="H40" s="64"/>
      <c r="I40" s="23">
        <v>-5.8222676200204271E-2</v>
      </c>
      <c r="J40" s="64">
        <v>-4.0211640211640254E-2</v>
      </c>
      <c r="K40" s="64">
        <v>4.1621029572836754E-2</v>
      </c>
      <c r="L40" s="64">
        <v>-4.7916666666666718E-2</v>
      </c>
      <c r="M40" s="311">
        <v>-1.6323633782824754E-2</v>
      </c>
      <c r="N40" s="64">
        <v>1.9540229885057547E-2</v>
      </c>
      <c r="O40" s="23">
        <v>-7.8633405639912946E-3</v>
      </c>
      <c r="P40" s="64">
        <v>1.2127894156560126E-2</v>
      </c>
      <c r="Q40" s="64">
        <v>-7.3606729758148859E-3</v>
      </c>
      <c r="R40" s="64">
        <v>2.6258205689277947E-2</v>
      </c>
      <c r="S40" s="311">
        <v>1.0101010101010166E-2</v>
      </c>
      <c r="T40" s="64">
        <v>2.4802705749718212E-2</v>
      </c>
      <c r="U40" s="23">
        <v>1.3664935774801767E-2</v>
      </c>
    </row>
    <row r="41" spans="1:21" ht="12.6" customHeight="1">
      <c r="A41" s="60" t="s">
        <v>258</v>
      </c>
      <c r="B41" s="56">
        <v>0.45</v>
      </c>
      <c r="C41" s="198">
        <v>-0.39</v>
      </c>
      <c r="D41" s="65">
        <v>0.11</v>
      </c>
      <c r="E41" s="197">
        <v>-0.56999999999999995</v>
      </c>
      <c r="F41" s="197">
        <v>0.06</v>
      </c>
      <c r="G41" s="314">
        <v>-0.4</v>
      </c>
      <c r="H41" s="197">
        <v>-3.0000000000000041E-2</v>
      </c>
      <c r="I41" s="198">
        <v>-0.43</v>
      </c>
      <c r="J41" s="65">
        <v>0.12</v>
      </c>
      <c r="K41" s="197">
        <v>0.1</v>
      </c>
      <c r="L41" s="197">
        <v>0.01</v>
      </c>
      <c r="M41" s="319">
        <v>0.22999999999999998</v>
      </c>
      <c r="N41" s="197">
        <v>5.9999999999999977E-2</v>
      </c>
      <c r="O41" s="198">
        <v>0.28999999999999998</v>
      </c>
      <c r="P41" s="65">
        <v>0.15</v>
      </c>
      <c r="Q41" s="197">
        <v>0.11</v>
      </c>
      <c r="R41" s="197">
        <v>0.1</v>
      </c>
      <c r="S41" s="319">
        <v>0.36</v>
      </c>
      <c r="T41" s="197">
        <v>7.0000000000000034E-2</v>
      </c>
      <c r="U41" s="198">
        <v>0.43</v>
      </c>
    </row>
    <row r="42" spans="1:21">
      <c r="A42" s="60" t="s">
        <v>28</v>
      </c>
      <c r="B42" s="57">
        <v>2765</v>
      </c>
      <c r="C42" s="57">
        <v>2765</v>
      </c>
      <c r="D42" s="66">
        <v>2765</v>
      </c>
      <c r="E42" s="66">
        <v>2765</v>
      </c>
      <c r="F42" s="66">
        <v>2765</v>
      </c>
      <c r="G42" s="315">
        <v>2765</v>
      </c>
      <c r="H42" s="66">
        <v>2765</v>
      </c>
      <c r="I42" s="57">
        <v>2765</v>
      </c>
      <c r="J42" s="66">
        <v>2765</v>
      </c>
      <c r="K42" s="66">
        <v>2765</v>
      </c>
      <c r="L42" s="66">
        <v>2765</v>
      </c>
      <c r="M42" s="315">
        <v>2765</v>
      </c>
      <c r="N42" s="66">
        <v>2765</v>
      </c>
      <c r="O42" s="57">
        <v>2765</v>
      </c>
      <c r="P42" s="66">
        <v>2765</v>
      </c>
      <c r="Q42" s="66">
        <v>2765</v>
      </c>
      <c r="R42" s="66">
        <v>2765</v>
      </c>
      <c r="S42" s="315">
        <v>2765</v>
      </c>
      <c r="T42" s="66">
        <v>2765</v>
      </c>
      <c r="U42" s="57">
        <v>2765</v>
      </c>
    </row>
    <row r="43" spans="1:21" s="323" customFormat="1" ht="13.5" customHeight="1">
      <c r="A43" s="328" t="s">
        <v>105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</row>
    <row r="44" spans="1:21" ht="13.5" customHeight="1">
      <c r="A44" s="60" t="s">
        <v>216</v>
      </c>
      <c r="B44" s="57">
        <v>3903</v>
      </c>
      <c r="C44" s="57">
        <v>3413</v>
      </c>
      <c r="D44" s="61">
        <v>819</v>
      </c>
      <c r="E44" s="61">
        <v>822</v>
      </c>
      <c r="F44" s="61">
        <v>813</v>
      </c>
      <c r="G44" s="309">
        <v>2454</v>
      </c>
      <c r="H44" s="61">
        <v>854</v>
      </c>
      <c r="I44" s="57">
        <v>3308</v>
      </c>
      <c r="J44" s="61">
        <v>801</v>
      </c>
      <c r="K44" s="61">
        <v>760</v>
      </c>
      <c r="L44" s="61">
        <v>790</v>
      </c>
      <c r="M44" s="309">
        <v>2351</v>
      </c>
      <c r="N44" s="61">
        <v>822</v>
      </c>
      <c r="O44" s="57">
        <v>3173</v>
      </c>
      <c r="P44" s="61">
        <v>831</v>
      </c>
      <c r="Q44" s="61">
        <v>797</v>
      </c>
      <c r="R44" s="61">
        <v>742</v>
      </c>
      <c r="S44" s="309">
        <v>2370</v>
      </c>
      <c r="T44" s="61">
        <v>887</v>
      </c>
      <c r="U44" s="57">
        <v>3257</v>
      </c>
    </row>
    <row r="45" spans="1:21" ht="10.5" customHeight="1">
      <c r="A45" s="62" t="s">
        <v>7</v>
      </c>
      <c r="B45" s="23"/>
      <c r="C45" s="23"/>
      <c r="D45" s="63"/>
      <c r="E45" s="63">
        <v>3.66300366300365E-3</v>
      </c>
      <c r="F45" s="63">
        <v>-1.0948905109489093E-2</v>
      </c>
      <c r="G45" s="310"/>
      <c r="H45" s="63">
        <v>5.0430504305043033E-2</v>
      </c>
      <c r="I45" s="23"/>
      <c r="J45" s="63">
        <v>-6.2060889929742347E-2</v>
      </c>
      <c r="K45" s="63">
        <v>-5.1186017478152324E-2</v>
      </c>
      <c r="L45" s="63">
        <v>3.9473684210526327E-2</v>
      </c>
      <c r="M45" s="310"/>
      <c r="N45" s="63">
        <v>4.0506329113924044E-2</v>
      </c>
      <c r="O45" s="23"/>
      <c r="P45" s="63">
        <v>1.0948905109489093E-2</v>
      </c>
      <c r="Q45" s="63">
        <v>-4.0914560770156427E-2</v>
      </c>
      <c r="R45" s="63">
        <v>-6.9008782936009982E-2</v>
      </c>
      <c r="S45" s="310"/>
      <c r="T45" s="63">
        <v>0.19541778975741231</v>
      </c>
      <c r="U45" s="23"/>
    </row>
    <row r="46" spans="1:21" ht="13.5" customHeight="1">
      <c r="A46" s="62" t="s">
        <v>8</v>
      </c>
      <c r="B46" s="23"/>
      <c r="C46" s="23">
        <v>-0.12554445298488337</v>
      </c>
      <c r="D46" s="64"/>
      <c r="E46" s="64"/>
      <c r="F46" s="64"/>
      <c r="G46" s="311"/>
      <c r="H46" s="64"/>
      <c r="I46" s="23">
        <v>-3.0764723117491899E-2</v>
      </c>
      <c r="J46" s="64">
        <v>-2.1978021978022011E-2</v>
      </c>
      <c r="K46" s="64">
        <v>-7.5425790754257926E-2</v>
      </c>
      <c r="L46" s="64">
        <v>-2.8290282902828978E-2</v>
      </c>
      <c r="M46" s="311">
        <v>-4.1972290138549306E-2</v>
      </c>
      <c r="N46" s="64">
        <v>-3.7470725995316201E-2</v>
      </c>
      <c r="O46" s="23">
        <v>-4.0810157194679619E-2</v>
      </c>
      <c r="P46" s="64">
        <v>3.7453183520599342E-2</v>
      </c>
      <c r="Q46" s="64">
        <v>4.8684210526315885E-2</v>
      </c>
      <c r="R46" s="64">
        <v>-6.0759493670886067E-2</v>
      </c>
      <c r="S46" s="311">
        <v>8.0816673755848001E-3</v>
      </c>
      <c r="T46" s="64">
        <v>7.9075425790754217E-2</v>
      </c>
      <c r="U46" s="23">
        <v>2.6473369051370987E-2</v>
      </c>
    </row>
    <row r="47" spans="1:21" ht="13.5" customHeight="1">
      <c r="A47" s="60" t="s">
        <v>62</v>
      </c>
      <c r="B47" s="57">
        <v>805</v>
      </c>
      <c r="C47" s="57">
        <v>789</v>
      </c>
      <c r="D47" s="61">
        <v>189</v>
      </c>
      <c r="E47" s="61">
        <v>194</v>
      </c>
      <c r="F47" s="61">
        <v>193</v>
      </c>
      <c r="G47" s="309">
        <v>576</v>
      </c>
      <c r="H47" s="61">
        <v>181</v>
      </c>
      <c r="I47" s="57">
        <v>757</v>
      </c>
      <c r="J47" s="61">
        <v>185</v>
      </c>
      <c r="K47" s="61">
        <v>201</v>
      </c>
      <c r="L47" s="61">
        <v>199</v>
      </c>
      <c r="M47" s="309">
        <v>585</v>
      </c>
      <c r="N47" s="61">
        <v>191</v>
      </c>
      <c r="O47" s="57">
        <v>776</v>
      </c>
      <c r="P47" s="61">
        <v>182</v>
      </c>
      <c r="Q47" s="61">
        <v>180</v>
      </c>
      <c r="R47" s="61">
        <v>173</v>
      </c>
      <c r="S47" s="309">
        <v>535</v>
      </c>
      <c r="T47" s="61">
        <v>182</v>
      </c>
      <c r="U47" s="57">
        <v>717</v>
      </c>
    </row>
    <row r="48" spans="1:21" ht="10.15" customHeight="1">
      <c r="A48" s="62" t="s">
        <v>7</v>
      </c>
      <c r="B48" s="23"/>
      <c r="C48" s="23"/>
      <c r="D48" s="63"/>
      <c r="E48" s="63">
        <v>2.6455026455026509E-2</v>
      </c>
      <c r="F48" s="63">
        <v>-5.1546391752577136E-3</v>
      </c>
      <c r="G48" s="310"/>
      <c r="H48" s="63">
        <v>-6.2176165803108807E-2</v>
      </c>
      <c r="I48" s="23"/>
      <c r="J48" s="63">
        <v>2.2099447513812098E-2</v>
      </c>
      <c r="K48" s="63">
        <v>8.6486486486486491E-2</v>
      </c>
      <c r="L48" s="63">
        <v>-9.9502487562188602E-3</v>
      </c>
      <c r="M48" s="310"/>
      <c r="N48" s="63">
        <v>-4.020100502512558E-2</v>
      </c>
      <c r="O48" s="23"/>
      <c r="P48" s="63">
        <v>-4.7120418848167533E-2</v>
      </c>
      <c r="Q48" s="63">
        <v>-1.098901098901095E-2</v>
      </c>
      <c r="R48" s="63">
        <v>-3.8888888888888862E-2</v>
      </c>
      <c r="S48" s="310"/>
      <c r="T48" s="63">
        <v>5.2023121387283267E-2</v>
      </c>
      <c r="U48" s="23"/>
    </row>
    <row r="49" spans="1:21" ht="12.6" customHeight="1">
      <c r="A49" s="62" t="s">
        <v>8</v>
      </c>
      <c r="B49" s="23"/>
      <c r="C49" s="23">
        <v>-1.9875776397515477E-2</v>
      </c>
      <c r="D49" s="64"/>
      <c r="E49" s="64"/>
      <c r="F49" s="64"/>
      <c r="G49" s="311"/>
      <c r="H49" s="64"/>
      <c r="I49" s="23">
        <v>-4.0557667934093766E-2</v>
      </c>
      <c r="J49" s="64">
        <v>-2.1164021164021163E-2</v>
      </c>
      <c r="K49" s="64">
        <v>3.6082474226804218E-2</v>
      </c>
      <c r="L49" s="64">
        <v>3.1088082901554515E-2</v>
      </c>
      <c r="M49" s="311">
        <v>1.5625E-2</v>
      </c>
      <c r="N49" s="64">
        <v>5.5248618784530468E-2</v>
      </c>
      <c r="O49" s="23">
        <v>2.5099075297225992E-2</v>
      </c>
      <c r="P49" s="64">
        <v>-1.6216216216216162E-2</v>
      </c>
      <c r="Q49" s="64">
        <v>-0.10447761194029848</v>
      </c>
      <c r="R49" s="64">
        <v>-0.1306532663316583</v>
      </c>
      <c r="S49" s="311">
        <v>-8.54700854700855E-2</v>
      </c>
      <c r="T49" s="64">
        <v>-4.7120418848167533E-2</v>
      </c>
      <c r="U49" s="23">
        <v>-7.6030927835051498E-2</v>
      </c>
    </row>
    <row r="50" spans="1:21" ht="13.5" customHeight="1">
      <c r="A50" s="60" t="s">
        <v>63</v>
      </c>
      <c r="B50" s="57">
        <v>867</v>
      </c>
      <c r="C50" s="57">
        <v>771</v>
      </c>
      <c r="D50" s="61">
        <v>191</v>
      </c>
      <c r="E50" s="61">
        <v>181</v>
      </c>
      <c r="F50" s="61">
        <v>202</v>
      </c>
      <c r="G50" s="309">
        <v>574</v>
      </c>
      <c r="H50" s="61">
        <v>232</v>
      </c>
      <c r="I50" s="57">
        <v>806</v>
      </c>
      <c r="J50" s="61">
        <v>188</v>
      </c>
      <c r="K50" s="61">
        <v>176</v>
      </c>
      <c r="L50" s="61">
        <v>189</v>
      </c>
      <c r="M50" s="309">
        <v>553</v>
      </c>
      <c r="N50" s="61">
        <v>194</v>
      </c>
      <c r="O50" s="57">
        <v>747</v>
      </c>
      <c r="P50" s="61">
        <v>221</v>
      </c>
      <c r="Q50" s="61">
        <v>200</v>
      </c>
      <c r="R50" s="61">
        <v>146</v>
      </c>
      <c r="S50" s="309">
        <v>567</v>
      </c>
      <c r="T50" s="61">
        <v>236</v>
      </c>
      <c r="U50" s="57">
        <v>803</v>
      </c>
    </row>
    <row r="51" spans="1:21" ht="10.15" customHeight="1">
      <c r="A51" s="62" t="s">
        <v>7</v>
      </c>
      <c r="B51" s="23"/>
      <c r="C51" s="23"/>
      <c r="D51" s="63"/>
      <c r="E51" s="63">
        <v>-5.2356020942408432E-2</v>
      </c>
      <c r="F51" s="63">
        <v>0.11602209944751385</v>
      </c>
      <c r="G51" s="310"/>
      <c r="H51" s="63">
        <v>0.14851485148514842</v>
      </c>
      <c r="I51" s="23"/>
      <c r="J51" s="63">
        <v>-0.18965517241379315</v>
      </c>
      <c r="K51" s="63">
        <v>-6.3829787234042534E-2</v>
      </c>
      <c r="L51" s="63">
        <v>7.3863636363636465E-2</v>
      </c>
      <c r="M51" s="310"/>
      <c r="N51" s="63">
        <v>2.6455026455026509E-2</v>
      </c>
      <c r="O51" s="23"/>
      <c r="P51" s="63">
        <v>0.13917525773195871</v>
      </c>
      <c r="Q51" s="63">
        <v>-9.5022624434389136E-2</v>
      </c>
      <c r="R51" s="63">
        <v>-0.27</v>
      </c>
      <c r="S51" s="310"/>
      <c r="T51" s="63">
        <v>0.61643835616438358</v>
      </c>
      <c r="U51" s="23"/>
    </row>
    <row r="52" spans="1:21" ht="14.45" customHeight="1">
      <c r="A52" s="62" t="s">
        <v>8</v>
      </c>
      <c r="B52" s="23"/>
      <c r="C52" s="23">
        <v>-0.11072664359861595</v>
      </c>
      <c r="D52" s="64"/>
      <c r="E52" s="64"/>
      <c r="F52" s="64"/>
      <c r="G52" s="309"/>
      <c r="H52" s="64"/>
      <c r="I52" s="23">
        <v>4.5395590142671916E-2</v>
      </c>
      <c r="J52" s="64">
        <v>-1.5706806282722474E-2</v>
      </c>
      <c r="K52" s="64">
        <v>-2.7624309392265234E-2</v>
      </c>
      <c r="L52" s="64">
        <v>-6.4356435643564303E-2</v>
      </c>
      <c r="M52" s="311">
        <v>-3.6585365853658569E-2</v>
      </c>
      <c r="N52" s="64">
        <v>-0.16379310344827591</v>
      </c>
      <c r="O52" s="23">
        <v>-7.3200992555831235E-2</v>
      </c>
      <c r="P52" s="64">
        <v>0.17553191489361697</v>
      </c>
      <c r="Q52" s="64">
        <v>0.13636363636363646</v>
      </c>
      <c r="R52" s="64">
        <v>-0.22751322751322756</v>
      </c>
      <c r="S52" s="311">
        <v>2.5316455696202445E-2</v>
      </c>
      <c r="T52" s="64">
        <v>0.21649484536082464</v>
      </c>
      <c r="U52" s="23">
        <v>7.4966532797858143E-2</v>
      </c>
    </row>
    <row r="53" spans="1:21" ht="13.5" customHeight="1">
      <c r="A53" s="60" t="s">
        <v>152</v>
      </c>
      <c r="B53" s="57">
        <v>636</v>
      </c>
      <c r="C53" s="57">
        <v>653</v>
      </c>
      <c r="D53" s="61">
        <v>160</v>
      </c>
      <c r="E53" s="61">
        <v>176</v>
      </c>
      <c r="F53" s="61">
        <v>149</v>
      </c>
      <c r="G53" s="309">
        <v>485</v>
      </c>
      <c r="H53" s="61">
        <v>159</v>
      </c>
      <c r="I53" s="57">
        <v>644</v>
      </c>
      <c r="J53" s="61">
        <v>164</v>
      </c>
      <c r="K53" s="61">
        <v>143</v>
      </c>
      <c r="L53" s="61">
        <v>135</v>
      </c>
      <c r="M53" s="309">
        <v>442</v>
      </c>
      <c r="N53" s="61">
        <v>147</v>
      </c>
      <c r="O53" s="57">
        <v>589</v>
      </c>
      <c r="P53" s="61">
        <v>144</v>
      </c>
      <c r="Q53" s="61">
        <v>133</v>
      </c>
      <c r="R53" s="61">
        <v>128</v>
      </c>
      <c r="S53" s="309">
        <v>405</v>
      </c>
      <c r="T53" s="61">
        <v>148</v>
      </c>
      <c r="U53" s="57">
        <v>553</v>
      </c>
    </row>
    <row r="54" spans="1:21" ht="9.6" customHeight="1">
      <c r="A54" s="62" t="s">
        <v>7</v>
      </c>
      <c r="B54" s="23"/>
      <c r="C54" s="23"/>
      <c r="D54" s="63"/>
      <c r="E54" s="63">
        <v>0.10000000000000009</v>
      </c>
      <c r="F54" s="63">
        <v>-0.15340909090909094</v>
      </c>
      <c r="G54" s="310"/>
      <c r="H54" s="63">
        <v>6.7114093959731447E-2</v>
      </c>
      <c r="I54" s="23"/>
      <c r="J54" s="63">
        <v>3.1446540880503138E-2</v>
      </c>
      <c r="K54" s="63">
        <v>-0.12804878048780488</v>
      </c>
      <c r="L54" s="63">
        <v>-5.5944055944055937E-2</v>
      </c>
      <c r="M54" s="310"/>
      <c r="N54" s="63">
        <v>8.8888888888888795E-2</v>
      </c>
      <c r="O54" s="23"/>
      <c r="P54" s="63">
        <v>-2.0408163265306145E-2</v>
      </c>
      <c r="Q54" s="63">
        <v>-7.638888888888884E-2</v>
      </c>
      <c r="R54" s="63">
        <v>-3.7593984962406068E-2</v>
      </c>
      <c r="S54" s="310"/>
      <c r="T54" s="63">
        <v>0.15625</v>
      </c>
      <c r="U54" s="23"/>
    </row>
    <row r="55" spans="1:21" ht="11.25" customHeight="1">
      <c r="A55" s="62" t="s">
        <v>8</v>
      </c>
      <c r="B55" s="23"/>
      <c r="C55" s="23">
        <v>2.6729559748427612E-2</v>
      </c>
      <c r="D55" s="64"/>
      <c r="E55" s="64"/>
      <c r="F55" s="64"/>
      <c r="G55" s="311"/>
      <c r="H55" s="64"/>
      <c r="I55" s="23">
        <v>-1.3782542113323082E-2</v>
      </c>
      <c r="J55" s="64">
        <v>2.4999999999999911E-2</v>
      </c>
      <c r="K55" s="64">
        <v>-0.1875</v>
      </c>
      <c r="L55" s="64">
        <v>-9.3959731543624136E-2</v>
      </c>
      <c r="M55" s="311">
        <v>-8.8659793814433008E-2</v>
      </c>
      <c r="N55" s="64">
        <v>-7.547169811320753E-2</v>
      </c>
      <c r="O55" s="23">
        <v>-8.5403726708074501E-2</v>
      </c>
      <c r="P55" s="64">
        <v>-0.12195121951219512</v>
      </c>
      <c r="Q55" s="64">
        <v>-6.9930069930069894E-2</v>
      </c>
      <c r="R55" s="64">
        <v>-5.1851851851851816E-2</v>
      </c>
      <c r="S55" s="311">
        <v>-8.371040723981904E-2</v>
      </c>
      <c r="T55" s="64">
        <v>6.8027210884353817E-3</v>
      </c>
      <c r="U55" s="23">
        <v>-6.1120543293718188E-2</v>
      </c>
    </row>
    <row r="56" spans="1:21" ht="13.5" customHeight="1">
      <c r="A56" s="60" t="s">
        <v>71</v>
      </c>
      <c r="B56" s="57">
        <v>595</v>
      </c>
      <c r="C56" s="57">
        <v>555</v>
      </c>
      <c r="D56" s="61">
        <v>123</v>
      </c>
      <c r="E56" s="61">
        <v>118</v>
      </c>
      <c r="F56" s="61">
        <v>120</v>
      </c>
      <c r="G56" s="309">
        <v>361</v>
      </c>
      <c r="H56" s="61">
        <v>128</v>
      </c>
      <c r="I56" s="57">
        <v>489</v>
      </c>
      <c r="J56" s="61">
        <v>117</v>
      </c>
      <c r="K56" s="61">
        <v>114</v>
      </c>
      <c r="L56" s="61">
        <v>117</v>
      </c>
      <c r="M56" s="309">
        <v>348</v>
      </c>
      <c r="N56" s="61">
        <v>114</v>
      </c>
      <c r="O56" s="57">
        <v>462</v>
      </c>
      <c r="P56" s="61">
        <v>124</v>
      </c>
      <c r="Q56" s="61">
        <v>127</v>
      </c>
      <c r="R56" s="61">
        <v>138</v>
      </c>
      <c r="S56" s="309">
        <v>389</v>
      </c>
      <c r="T56" s="61">
        <v>149</v>
      </c>
      <c r="U56" s="57">
        <v>538</v>
      </c>
    </row>
    <row r="57" spans="1:21" ht="9.75" customHeight="1">
      <c r="A57" s="62" t="s">
        <v>7</v>
      </c>
      <c r="B57" s="23"/>
      <c r="C57" s="23"/>
      <c r="D57" s="63"/>
      <c r="E57" s="63">
        <v>-4.065040650406504E-2</v>
      </c>
      <c r="F57" s="63">
        <v>1.6949152542372836E-2</v>
      </c>
      <c r="G57" s="310"/>
      <c r="H57" s="63">
        <v>6.6666666666666652E-2</v>
      </c>
      <c r="I57" s="23"/>
      <c r="J57" s="63">
        <v>-8.59375E-2</v>
      </c>
      <c r="K57" s="63">
        <v>-2.5641025641025661E-2</v>
      </c>
      <c r="L57" s="63">
        <v>2.6315789473684292E-2</v>
      </c>
      <c r="M57" s="310"/>
      <c r="N57" s="63">
        <v>-2.5641025641025661E-2</v>
      </c>
      <c r="O57" s="23"/>
      <c r="P57" s="63">
        <v>8.7719298245614086E-2</v>
      </c>
      <c r="Q57" s="63">
        <v>2.4193548387096753E-2</v>
      </c>
      <c r="R57" s="63">
        <v>8.6614173228346525E-2</v>
      </c>
      <c r="S57" s="310"/>
      <c r="T57" s="63">
        <v>7.9710144927536142E-2</v>
      </c>
      <c r="U57" s="23"/>
    </row>
    <row r="58" spans="1:21" ht="9.6" customHeight="1">
      <c r="A58" s="62" t="s">
        <v>8</v>
      </c>
      <c r="B58" s="23"/>
      <c r="C58" s="23">
        <v>-6.7226890756302504E-2</v>
      </c>
      <c r="D58" s="64"/>
      <c r="E58" s="64"/>
      <c r="F58" s="64"/>
      <c r="G58" s="311"/>
      <c r="H58" s="64"/>
      <c r="I58" s="23">
        <v>-0.11891891891891893</v>
      </c>
      <c r="J58" s="64">
        <v>-4.8780487804878092E-2</v>
      </c>
      <c r="K58" s="64">
        <v>-3.3898305084745783E-2</v>
      </c>
      <c r="L58" s="64">
        <v>-2.5000000000000022E-2</v>
      </c>
      <c r="M58" s="311">
        <v>-3.6011080332409962E-2</v>
      </c>
      <c r="N58" s="64">
        <v>-0.109375</v>
      </c>
      <c r="O58" s="23">
        <v>-5.5214723926380382E-2</v>
      </c>
      <c r="P58" s="64">
        <v>5.9829059829059839E-2</v>
      </c>
      <c r="Q58" s="64">
        <v>0.11403508771929816</v>
      </c>
      <c r="R58" s="64">
        <v>0.17948717948717952</v>
      </c>
      <c r="S58" s="311">
        <v>0.11781609195402298</v>
      </c>
      <c r="T58" s="64">
        <v>0.30701754385964919</v>
      </c>
      <c r="U58" s="23">
        <v>0.16450216450216448</v>
      </c>
    </row>
    <row r="59" spans="1:21" ht="13.5" customHeight="1">
      <c r="A59" s="60" t="s">
        <v>64</v>
      </c>
      <c r="B59" s="57">
        <v>584</v>
      </c>
      <c r="C59" s="57">
        <v>286</v>
      </c>
      <c r="D59" s="61">
        <v>68</v>
      </c>
      <c r="E59" s="61">
        <v>65</v>
      </c>
      <c r="F59" s="61">
        <v>70</v>
      </c>
      <c r="G59" s="309">
        <v>203</v>
      </c>
      <c r="H59" s="61">
        <v>68</v>
      </c>
      <c r="I59" s="57">
        <v>271</v>
      </c>
      <c r="J59" s="61">
        <v>65</v>
      </c>
      <c r="K59" s="61">
        <v>46</v>
      </c>
      <c r="L59" s="61">
        <v>68</v>
      </c>
      <c r="M59" s="309">
        <v>179</v>
      </c>
      <c r="N59" s="61">
        <v>67</v>
      </c>
      <c r="O59" s="57">
        <v>246</v>
      </c>
      <c r="P59" s="61">
        <v>60</v>
      </c>
      <c r="Q59" s="61">
        <v>59</v>
      </c>
      <c r="R59" s="61">
        <v>62</v>
      </c>
      <c r="S59" s="309">
        <v>181</v>
      </c>
      <c r="T59" s="61">
        <v>57</v>
      </c>
      <c r="U59" s="57">
        <v>238</v>
      </c>
    </row>
    <row r="60" spans="1:21" ht="10.5" customHeight="1">
      <c r="A60" s="62" t="s">
        <v>7</v>
      </c>
      <c r="B60" s="23"/>
      <c r="C60" s="23"/>
      <c r="D60" s="63"/>
      <c r="E60" s="63">
        <v>-4.4117647058823484E-2</v>
      </c>
      <c r="F60" s="63">
        <v>7.6923076923076872E-2</v>
      </c>
      <c r="G60" s="310"/>
      <c r="H60" s="63">
        <v>-2.8571428571428581E-2</v>
      </c>
      <c r="I60" s="23"/>
      <c r="J60" s="63">
        <v>-4.4117647058823484E-2</v>
      </c>
      <c r="K60" s="63">
        <v>-0.29230769230769227</v>
      </c>
      <c r="L60" s="63">
        <v>0.47826086956521729</v>
      </c>
      <c r="M60" s="310"/>
      <c r="N60" s="63">
        <v>-1.4705882352941124E-2</v>
      </c>
      <c r="O60" s="23"/>
      <c r="P60" s="63">
        <v>-0.10447761194029848</v>
      </c>
      <c r="Q60" s="63">
        <v>-1.6666666666666718E-2</v>
      </c>
      <c r="R60" s="63">
        <v>5.0847457627118731E-2</v>
      </c>
      <c r="S60" s="310"/>
      <c r="T60" s="63">
        <v>-8.064516129032262E-2</v>
      </c>
      <c r="U60" s="23"/>
    </row>
    <row r="61" spans="1:21" ht="9" customHeight="1">
      <c r="A61" s="62" t="s">
        <v>8</v>
      </c>
      <c r="B61" s="23"/>
      <c r="C61" s="23">
        <v>-0.51027397260273966</v>
      </c>
      <c r="D61" s="64"/>
      <c r="E61" s="64"/>
      <c r="F61" s="64"/>
      <c r="G61" s="311"/>
      <c r="H61" s="64"/>
      <c r="I61" s="23">
        <v>-5.2447552447552392E-2</v>
      </c>
      <c r="J61" s="64">
        <v>-4.4117647058823484E-2</v>
      </c>
      <c r="K61" s="64">
        <v>-0.29230769230769227</v>
      </c>
      <c r="L61" s="64">
        <v>-2.8571428571428581E-2</v>
      </c>
      <c r="M61" s="311">
        <v>-0.11822660098522164</v>
      </c>
      <c r="N61" s="64">
        <v>-1.4705882352941124E-2</v>
      </c>
      <c r="O61" s="23">
        <v>-9.2250922509225064E-2</v>
      </c>
      <c r="P61" s="64">
        <v>-7.6923076923076872E-2</v>
      </c>
      <c r="Q61" s="64">
        <v>0.28260869565217384</v>
      </c>
      <c r="R61" s="64">
        <v>-8.8235294117647078E-2</v>
      </c>
      <c r="S61" s="311">
        <v>1.1173184357541999E-2</v>
      </c>
      <c r="T61" s="64">
        <v>-0.14925373134328357</v>
      </c>
      <c r="U61" s="23">
        <v>-3.2520325203251987E-2</v>
      </c>
    </row>
    <row r="62" spans="1:21" ht="13.5" customHeight="1">
      <c r="A62" s="60" t="s">
        <v>65</v>
      </c>
      <c r="B62" s="57">
        <v>260</v>
      </c>
      <c r="C62" s="57">
        <v>277</v>
      </c>
      <c r="D62" s="61">
        <v>70</v>
      </c>
      <c r="E62" s="61">
        <v>68</v>
      </c>
      <c r="F62" s="61">
        <v>63</v>
      </c>
      <c r="G62" s="309">
        <v>201</v>
      </c>
      <c r="H62" s="61">
        <v>69</v>
      </c>
      <c r="I62" s="57">
        <v>270</v>
      </c>
      <c r="J62" s="61">
        <v>68</v>
      </c>
      <c r="K62" s="61">
        <v>71</v>
      </c>
      <c r="L62" s="61">
        <v>68</v>
      </c>
      <c r="M62" s="309">
        <v>207</v>
      </c>
      <c r="N62" s="61">
        <v>96</v>
      </c>
      <c r="O62" s="57">
        <v>303</v>
      </c>
      <c r="P62" s="61">
        <v>86</v>
      </c>
      <c r="Q62" s="61">
        <v>82</v>
      </c>
      <c r="R62" s="61">
        <v>81</v>
      </c>
      <c r="S62" s="309">
        <v>249</v>
      </c>
      <c r="T62" s="61">
        <v>99</v>
      </c>
      <c r="U62" s="57">
        <v>348</v>
      </c>
    </row>
    <row r="63" spans="1:21" ht="9.75" customHeight="1">
      <c r="A63" s="62" t="s">
        <v>7</v>
      </c>
      <c r="B63" s="23"/>
      <c r="C63" s="23"/>
      <c r="D63" s="63"/>
      <c r="E63" s="63">
        <v>-2.8571428571428581E-2</v>
      </c>
      <c r="F63" s="63">
        <v>-7.3529411764705843E-2</v>
      </c>
      <c r="G63" s="310"/>
      <c r="H63" s="63">
        <v>9.5238095238095344E-2</v>
      </c>
      <c r="I63" s="23"/>
      <c r="J63" s="63">
        <v>-1.4492753623188359E-2</v>
      </c>
      <c r="K63" s="63">
        <v>4.4117647058823595E-2</v>
      </c>
      <c r="L63" s="63">
        <v>-4.2253521126760618E-2</v>
      </c>
      <c r="M63" s="310"/>
      <c r="N63" s="63">
        <v>0.41176470588235303</v>
      </c>
      <c r="O63" s="23"/>
      <c r="P63" s="63">
        <v>-0.10416666666666663</v>
      </c>
      <c r="Q63" s="63">
        <v>-4.6511627906976716E-2</v>
      </c>
      <c r="R63" s="63">
        <v>-1.2195121951219523E-2</v>
      </c>
      <c r="S63" s="310"/>
      <c r="T63" s="63">
        <v>0.22222222222222232</v>
      </c>
      <c r="U63" s="23"/>
    </row>
    <row r="64" spans="1:21" ht="10.15" customHeight="1">
      <c r="A64" s="62" t="s">
        <v>8</v>
      </c>
      <c r="B64" s="23"/>
      <c r="C64" s="23">
        <v>6.5384615384615374E-2</v>
      </c>
      <c r="D64" s="64"/>
      <c r="E64" s="64"/>
      <c r="F64" s="64"/>
      <c r="G64" s="311"/>
      <c r="H64" s="64"/>
      <c r="I64" s="23">
        <v>-2.5270758122743708E-2</v>
      </c>
      <c r="J64" s="64">
        <v>-2.8571428571428581E-2</v>
      </c>
      <c r="K64" s="64">
        <v>4.4117647058823595E-2</v>
      </c>
      <c r="L64" s="64">
        <v>7.9365079365079305E-2</v>
      </c>
      <c r="M64" s="311">
        <v>2.9850746268656803E-2</v>
      </c>
      <c r="N64" s="64">
        <v>0.39130434782608692</v>
      </c>
      <c r="O64" s="23">
        <v>0.12222222222222223</v>
      </c>
      <c r="P64" s="64">
        <v>0.26470588235294112</v>
      </c>
      <c r="Q64" s="64">
        <v>0.15492957746478875</v>
      </c>
      <c r="R64" s="64">
        <v>0.19117647058823528</v>
      </c>
      <c r="S64" s="311">
        <v>0.20289855072463769</v>
      </c>
      <c r="T64" s="64">
        <v>3.125E-2</v>
      </c>
      <c r="U64" s="23">
        <v>0.14851485148514842</v>
      </c>
    </row>
    <row r="65" spans="1:21" ht="11.25" customHeight="1">
      <c r="A65" s="60" t="s">
        <v>70</v>
      </c>
      <c r="B65" s="57">
        <v>156</v>
      </c>
      <c r="C65" s="57">
        <v>82</v>
      </c>
      <c r="D65" s="61">
        <v>18</v>
      </c>
      <c r="E65" s="61">
        <v>20</v>
      </c>
      <c r="F65" s="61">
        <v>16</v>
      </c>
      <c r="G65" s="309">
        <v>54</v>
      </c>
      <c r="H65" s="61">
        <v>17</v>
      </c>
      <c r="I65" s="57">
        <v>71</v>
      </c>
      <c r="J65" s="61">
        <v>14</v>
      </c>
      <c r="K65" s="61">
        <v>9</v>
      </c>
      <c r="L65" s="61">
        <v>14</v>
      </c>
      <c r="M65" s="309">
        <v>37</v>
      </c>
      <c r="N65" s="61">
        <v>13</v>
      </c>
      <c r="O65" s="57">
        <v>50</v>
      </c>
      <c r="P65" s="61">
        <v>14</v>
      </c>
      <c r="Q65" s="61">
        <v>16</v>
      </c>
      <c r="R65" s="61">
        <v>14</v>
      </c>
      <c r="S65" s="309">
        <v>44</v>
      </c>
      <c r="T65" s="61">
        <v>16</v>
      </c>
      <c r="U65" s="57">
        <v>60</v>
      </c>
    </row>
    <row r="66" spans="1:21" ht="9" customHeight="1">
      <c r="A66" s="62" t="s">
        <v>7</v>
      </c>
      <c r="B66" s="23"/>
      <c r="C66" s="23"/>
      <c r="D66" s="63"/>
      <c r="E66" s="63">
        <v>0.11111111111111116</v>
      </c>
      <c r="F66" s="63">
        <v>-0.19999999999999996</v>
      </c>
      <c r="G66" s="310"/>
      <c r="H66" s="63">
        <v>6.25E-2</v>
      </c>
      <c r="I66" s="23"/>
      <c r="J66" s="63">
        <v>-0.17647058823529416</v>
      </c>
      <c r="K66" s="63">
        <v>-0.3571428571428571</v>
      </c>
      <c r="L66" s="63">
        <v>0.55555555555555558</v>
      </c>
      <c r="M66" s="310"/>
      <c r="N66" s="63">
        <v>-7.1428571428571397E-2</v>
      </c>
      <c r="O66" s="23"/>
      <c r="P66" s="63">
        <v>7.6923076923076872E-2</v>
      </c>
      <c r="Q66" s="63">
        <v>0.14285714285714279</v>
      </c>
      <c r="R66" s="63">
        <v>-0.125</v>
      </c>
      <c r="S66" s="310"/>
      <c r="T66" s="63">
        <v>0.14285714285714279</v>
      </c>
      <c r="U66" s="23"/>
    </row>
    <row r="67" spans="1:21" ht="10.15" customHeight="1">
      <c r="A67" s="62" t="s">
        <v>8</v>
      </c>
      <c r="B67" s="23"/>
      <c r="C67" s="23">
        <v>-0.47435897435897434</v>
      </c>
      <c r="D67" s="64"/>
      <c r="E67" s="64"/>
      <c r="F67" s="64"/>
      <c r="G67" s="311"/>
      <c r="H67" s="64"/>
      <c r="I67" s="23">
        <v>-0.13414634146341464</v>
      </c>
      <c r="J67" s="64">
        <v>-0.22222222222222221</v>
      </c>
      <c r="K67" s="64">
        <v>-0.55000000000000004</v>
      </c>
      <c r="L67" s="64">
        <v>-0.125</v>
      </c>
      <c r="M67" s="311">
        <v>-0.31481481481481477</v>
      </c>
      <c r="N67" s="64">
        <v>-0.23529411764705888</v>
      </c>
      <c r="O67" s="23">
        <v>-0.29577464788732399</v>
      </c>
      <c r="P67" s="64">
        <v>0</v>
      </c>
      <c r="Q67" s="64">
        <v>0.77777777777777768</v>
      </c>
      <c r="R67" s="64">
        <v>0</v>
      </c>
      <c r="S67" s="311">
        <v>0.18918918918918926</v>
      </c>
      <c r="T67" s="64">
        <v>0.23076923076923084</v>
      </c>
      <c r="U67" s="23">
        <v>0.19999999999999996</v>
      </c>
    </row>
    <row r="68" spans="1:21" s="323" customFormat="1">
      <c r="A68" s="329" t="s">
        <v>36</v>
      </c>
      <c r="B68" s="322"/>
      <c r="C68" s="322"/>
      <c r="D68" s="317"/>
      <c r="E68" s="317"/>
      <c r="F68" s="317"/>
      <c r="G68" s="317"/>
      <c r="H68" s="317"/>
      <c r="I68" s="322"/>
      <c r="J68" s="317"/>
      <c r="K68" s="317"/>
      <c r="L68" s="317"/>
      <c r="M68" s="317"/>
      <c r="N68" s="317"/>
      <c r="O68" s="322"/>
      <c r="P68" s="317"/>
      <c r="Q68" s="317"/>
      <c r="R68" s="317"/>
      <c r="S68" s="317"/>
      <c r="T68" s="317"/>
      <c r="U68" s="322"/>
    </row>
    <row r="69" spans="1:21" s="34" customFormat="1" ht="11.25" customHeight="1">
      <c r="A69" s="60" t="s">
        <v>31</v>
      </c>
      <c r="B69" s="48">
        <v>0.12493615282459904</v>
      </c>
      <c r="C69" s="48">
        <v>-0.11715481171548117</v>
      </c>
      <c r="D69" s="68">
        <v>0.13076241134751773</v>
      </c>
      <c r="E69" s="68">
        <v>-0.70998201438848918</v>
      </c>
      <c r="F69" s="68">
        <v>7.8771695594125501E-2</v>
      </c>
      <c r="G69" s="318">
        <v>-0.16456072543481493</v>
      </c>
      <c r="H69" s="68">
        <v>-3.9509536784741145E-2</v>
      </c>
      <c r="I69" s="48">
        <v>-0.13372158136409451</v>
      </c>
      <c r="J69" s="68">
        <v>0.14951989026063101</v>
      </c>
      <c r="K69" s="68">
        <v>0.12482598607888631</v>
      </c>
      <c r="L69" s="68">
        <v>1.1937557392102846E-2</v>
      </c>
      <c r="M69" s="318">
        <v>9.5398773006134974E-2</v>
      </c>
      <c r="N69" s="68">
        <v>7.8983204720835226E-2</v>
      </c>
      <c r="O69" s="48">
        <v>9.1253009285796174E-2</v>
      </c>
      <c r="P69" s="68">
        <v>0.18370103556956327</v>
      </c>
      <c r="Q69" s="68">
        <v>0.13363636363636364</v>
      </c>
      <c r="R69" s="68">
        <v>0.13258636788048553</v>
      </c>
      <c r="S69" s="318">
        <v>0.15023617248209661</v>
      </c>
      <c r="T69" s="68">
        <v>8.7245349867139055E-2</v>
      </c>
      <c r="U69" s="48">
        <v>0.13411177870989685</v>
      </c>
    </row>
    <row r="70" spans="1:21" s="34" customFormat="1" ht="11.25" customHeight="1">
      <c r="A70" s="60" t="s">
        <v>10</v>
      </c>
      <c r="B70" s="48">
        <v>0.38951884768617834</v>
      </c>
      <c r="C70" s="48">
        <v>0.17240639416371634</v>
      </c>
      <c r="D70" s="68">
        <v>0.42996453900709219</v>
      </c>
      <c r="E70" s="68">
        <v>0.16906474820143885</v>
      </c>
      <c r="F70" s="68">
        <v>0.40987983978638182</v>
      </c>
      <c r="G70" s="318">
        <v>0.3370001486546752</v>
      </c>
      <c r="H70" s="68">
        <v>0.22479564032697547</v>
      </c>
      <c r="I70" s="48">
        <v>0.30932915220069435</v>
      </c>
      <c r="J70" s="68">
        <v>0.41609510745313216</v>
      </c>
      <c r="K70" s="68">
        <v>0.45011600928074247</v>
      </c>
      <c r="L70" s="68">
        <v>0.29981634527089074</v>
      </c>
      <c r="M70" s="318">
        <v>0.3884969325153374</v>
      </c>
      <c r="N70" s="68">
        <v>0.3445301861098502</v>
      </c>
      <c r="O70" s="48">
        <v>0.3773930987045741</v>
      </c>
      <c r="P70" s="68">
        <v>0.47816298964430437</v>
      </c>
      <c r="Q70" s="68">
        <v>0.42454545454545456</v>
      </c>
      <c r="R70" s="68">
        <v>0.43183940242763774</v>
      </c>
      <c r="S70" s="318">
        <v>0.44507085174462896</v>
      </c>
      <c r="T70" s="68">
        <v>0.37112488928255094</v>
      </c>
      <c r="U70" s="48">
        <v>0.42614216075274913</v>
      </c>
    </row>
    <row r="71" spans="1:21" s="34" customFormat="1" ht="11.25" customHeight="1">
      <c r="A71" s="60" t="s">
        <v>18</v>
      </c>
      <c r="B71" s="48">
        <v>0.15629788538155073</v>
      </c>
      <c r="C71" s="48">
        <v>0.18528054929728571</v>
      </c>
      <c r="D71" s="68">
        <v>0.16533687943262412</v>
      </c>
      <c r="E71" s="68">
        <v>0.23606115107913669</v>
      </c>
      <c r="F71" s="68">
        <v>0.14641744548286603</v>
      </c>
      <c r="G71" s="318">
        <v>0.1823992864575591</v>
      </c>
      <c r="H71" s="68">
        <v>0.14713896457765668</v>
      </c>
      <c r="I71" s="48">
        <v>0.17370366222421324</v>
      </c>
      <c r="J71" s="68">
        <v>0.1545496113397348</v>
      </c>
      <c r="K71" s="68">
        <v>0.16287703016241301</v>
      </c>
      <c r="L71" s="68">
        <v>0.20293847566574838</v>
      </c>
      <c r="M71" s="318">
        <v>0.17346625766871165</v>
      </c>
      <c r="N71" s="68">
        <v>0.16704493871992737</v>
      </c>
      <c r="O71" s="48">
        <v>0.17184454889372922</v>
      </c>
      <c r="P71" s="68">
        <v>0.20621341737955876</v>
      </c>
      <c r="Q71" s="68">
        <v>0.19</v>
      </c>
      <c r="R71" s="68">
        <v>0.207749766573296</v>
      </c>
      <c r="S71" s="318">
        <v>0.20127990248362029</v>
      </c>
      <c r="T71" s="68">
        <v>0.16386182462356066</v>
      </c>
      <c r="U71" s="48">
        <v>0.191701621131391</v>
      </c>
    </row>
    <row r="72" spans="1:21" ht="3.6" customHeight="1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</sheetData>
  <customSheetViews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U43"/>
  <sheetViews>
    <sheetView showGridLines="0" tabSelected="1" workbookViewId="0">
      <pane xSplit="1" ySplit="8" topLeftCell="B20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44" customWidth="1"/>
    <col min="4" max="8" width="0" hidden="1" customWidth="1"/>
    <col min="13" max="13" width="0" hidden="1" customWidth="1"/>
    <col min="19" max="19" width="0" hidden="1" customWidth="1"/>
  </cols>
  <sheetData>
    <row r="1" spans="1:2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1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1">
      <c r="A3" s="30"/>
      <c r="B3" s="45" t="s">
        <v>5</v>
      </c>
      <c r="C3" s="45" t="s">
        <v>5</v>
      </c>
      <c r="D3" s="45" t="s">
        <v>68</v>
      </c>
      <c r="E3" s="45" t="s">
        <v>0</v>
      </c>
      <c r="F3" s="45" t="s">
        <v>1</v>
      </c>
      <c r="G3" s="45" t="s">
        <v>380</v>
      </c>
      <c r="H3" s="45" t="s">
        <v>2</v>
      </c>
      <c r="I3" s="45" t="s">
        <v>5</v>
      </c>
      <c r="J3" s="45" t="s">
        <v>68</v>
      </c>
      <c r="K3" s="45" t="s">
        <v>0</v>
      </c>
      <c r="L3" s="45" t="s">
        <v>1</v>
      </c>
      <c r="M3" s="45" t="s">
        <v>380</v>
      </c>
      <c r="N3" s="45" t="s">
        <v>2</v>
      </c>
      <c r="O3" s="45" t="s">
        <v>5</v>
      </c>
      <c r="P3" s="45" t="s">
        <v>68</v>
      </c>
      <c r="Q3" s="45" t="s">
        <v>0</v>
      </c>
      <c r="R3" s="45" t="s">
        <v>1</v>
      </c>
      <c r="S3" s="45" t="s">
        <v>380</v>
      </c>
      <c r="T3" s="45" t="s">
        <v>2</v>
      </c>
      <c r="U3" s="45" t="s">
        <v>5</v>
      </c>
    </row>
    <row r="4" spans="1:21">
      <c r="A4" s="237" t="s">
        <v>259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</row>
    <row r="5" spans="1:21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0.25">
      <c r="A6" s="33" t="s">
        <v>261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3" customFormat="1" ht="13.5" customHeight="1">
      <c r="A8" s="328" t="s">
        <v>24</v>
      </c>
      <c r="B8" s="322"/>
      <c r="C8" s="322"/>
      <c r="D8" s="330"/>
      <c r="E8" s="330"/>
      <c r="F8" s="330"/>
      <c r="G8" s="330"/>
      <c r="H8" s="330"/>
      <c r="I8" s="322"/>
      <c r="J8" s="330"/>
      <c r="K8" s="330"/>
      <c r="L8" s="330"/>
      <c r="M8" s="330"/>
      <c r="N8" s="330"/>
      <c r="O8" s="322"/>
      <c r="P8" s="330"/>
      <c r="Q8" s="330"/>
      <c r="R8" s="330"/>
      <c r="S8" s="330"/>
      <c r="T8" s="330"/>
      <c r="U8" s="322"/>
    </row>
    <row r="9" spans="1:21" s="3" customFormat="1" ht="13.5" customHeight="1">
      <c r="A9" s="60" t="s">
        <v>49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309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309">
        <v>2270</v>
      </c>
      <c r="N9" s="61">
        <v>950</v>
      </c>
      <c r="O9" s="35">
        <v>3220</v>
      </c>
      <c r="P9" s="61">
        <v>700</v>
      </c>
      <c r="Q9" s="61">
        <v>594</v>
      </c>
      <c r="R9" s="61">
        <v>914</v>
      </c>
      <c r="S9" s="309">
        <v>2208</v>
      </c>
      <c r="T9" s="61">
        <v>631</v>
      </c>
      <c r="U9" s="35">
        <v>2839</v>
      </c>
    </row>
    <row r="10" spans="1:21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310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310"/>
      <c r="N10" s="63">
        <v>0.14457831325301207</v>
      </c>
      <c r="O10" s="23"/>
      <c r="P10" s="63">
        <v>-0.26315789473684215</v>
      </c>
      <c r="Q10" s="63">
        <v>-0.15142857142857147</v>
      </c>
      <c r="R10" s="63">
        <v>0.53872053872053871</v>
      </c>
      <c r="S10" s="310"/>
      <c r="T10" s="63">
        <v>-0.30962800875273522</v>
      </c>
      <c r="U10" s="23"/>
    </row>
    <row r="11" spans="1:21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311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311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64">
        <v>0.10120481927710845</v>
      </c>
      <c r="S11" s="311">
        <v>-2.7312775330396444E-2</v>
      </c>
      <c r="T11" s="64">
        <v>-0.33578947368421053</v>
      </c>
      <c r="U11" s="23">
        <v>-0.11832298136645958</v>
      </c>
    </row>
    <row r="12" spans="1:21" s="3" customFormat="1" ht="13.5" customHeight="1">
      <c r="A12" s="60" t="s">
        <v>300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309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309">
        <v>1131</v>
      </c>
      <c r="N12" s="61">
        <v>368</v>
      </c>
      <c r="O12" s="35">
        <v>1499</v>
      </c>
      <c r="P12" s="61">
        <v>458</v>
      </c>
      <c r="Q12" s="61">
        <v>418</v>
      </c>
      <c r="R12" s="61">
        <v>445</v>
      </c>
      <c r="S12" s="309">
        <v>1321</v>
      </c>
      <c r="T12" s="61">
        <v>370</v>
      </c>
      <c r="U12" s="35">
        <v>1691</v>
      </c>
    </row>
    <row r="13" spans="1:21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310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310"/>
      <c r="N13" s="63">
        <v>-0.16742081447963797</v>
      </c>
      <c r="O13" s="23"/>
      <c r="P13" s="63">
        <v>0.24456521739130443</v>
      </c>
      <c r="Q13" s="63">
        <v>-8.7336244541484698E-2</v>
      </c>
      <c r="R13" s="63">
        <v>6.4593301435406758E-2</v>
      </c>
      <c r="S13" s="310"/>
      <c r="T13" s="63">
        <v>-0.1685393258426966</v>
      </c>
      <c r="U13" s="23"/>
    </row>
    <row r="14" spans="1:21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311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311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64">
        <v>6.7873303167420573E-3</v>
      </c>
      <c r="S14" s="311">
        <v>0.1679929266136162</v>
      </c>
      <c r="T14" s="64">
        <v>5.4347826086955653E-3</v>
      </c>
      <c r="U14" s="23">
        <v>0.12808539026017352</v>
      </c>
    </row>
    <row r="15" spans="1:21" s="3" customFormat="1" ht="13.5" customHeight="1">
      <c r="A15" s="60" t="s">
        <v>184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309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309">
        <v>31</v>
      </c>
      <c r="N15" s="61">
        <v>117</v>
      </c>
      <c r="O15" s="35">
        <v>148</v>
      </c>
      <c r="P15" s="61">
        <v>183</v>
      </c>
      <c r="Q15" s="61">
        <v>1</v>
      </c>
      <c r="R15" s="61">
        <v>5</v>
      </c>
      <c r="S15" s="309">
        <v>189</v>
      </c>
      <c r="T15" s="61">
        <v>89</v>
      </c>
      <c r="U15" s="35">
        <v>278</v>
      </c>
    </row>
    <row r="16" spans="1:21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310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310"/>
      <c r="N16" s="63">
        <v>38</v>
      </c>
      <c r="O16" s="23"/>
      <c r="P16" s="63">
        <v>0.5641025641025641</v>
      </c>
      <c r="Q16" s="63">
        <v>-0.99453551912568305</v>
      </c>
      <c r="R16" s="63">
        <v>4</v>
      </c>
      <c r="S16" s="310"/>
      <c r="T16" s="63">
        <v>16.8</v>
      </c>
      <c r="U16" s="23"/>
    </row>
    <row r="17" spans="1:21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311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311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64">
        <v>0.66666666666666674</v>
      </c>
      <c r="S17" s="311">
        <v>5.096774193548387</v>
      </c>
      <c r="T17" s="64">
        <v>-0.23931623931623935</v>
      </c>
      <c r="U17" s="23">
        <v>0.87837837837837829</v>
      </c>
    </row>
    <row r="18" spans="1:21" s="3" customFormat="1" ht="13.5" customHeight="1">
      <c r="A18" s="60" t="s">
        <v>301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309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309">
        <v>1100</v>
      </c>
      <c r="N18" s="61">
        <v>251</v>
      </c>
      <c r="O18" s="35">
        <v>1351</v>
      </c>
      <c r="P18" s="61">
        <v>275</v>
      </c>
      <c r="Q18" s="61">
        <v>417</v>
      </c>
      <c r="R18" s="61">
        <v>440</v>
      </c>
      <c r="S18" s="309">
        <v>1132</v>
      </c>
      <c r="T18" s="61">
        <v>281</v>
      </c>
      <c r="U18" s="35">
        <v>1413</v>
      </c>
    </row>
    <row r="19" spans="1:21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310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310"/>
      <c r="N19" s="63">
        <v>-0.42824601366742598</v>
      </c>
      <c r="O19" s="23"/>
      <c r="P19" s="63">
        <v>9.5617529880478003E-2</v>
      </c>
      <c r="Q19" s="63">
        <v>0.51636363636363636</v>
      </c>
      <c r="R19" s="63">
        <v>5.5155875299760293E-2</v>
      </c>
      <c r="S19" s="310"/>
      <c r="T19" s="63">
        <v>-0.36136363636363633</v>
      </c>
      <c r="U19" s="23"/>
    </row>
    <row r="20" spans="1:21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311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311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64">
        <v>2.277904328018332E-3</v>
      </c>
      <c r="S20" s="311">
        <v>2.9090909090909056E-2</v>
      </c>
      <c r="T20" s="64">
        <v>0.1195219123505975</v>
      </c>
      <c r="U20" s="23">
        <v>4.5891931902294569E-2</v>
      </c>
    </row>
    <row r="21" spans="1:21" s="3" customFormat="1" ht="13.5" customHeight="1">
      <c r="A21" s="60" t="s">
        <v>198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309">
        <v>322</v>
      </c>
      <c r="H21" s="61">
        <v>92</v>
      </c>
      <c r="I21" s="35">
        <v>414</v>
      </c>
      <c r="J21" s="131">
        <v>113</v>
      </c>
      <c r="K21" s="131">
        <v>86</v>
      </c>
      <c r="L21" s="131">
        <v>106</v>
      </c>
      <c r="M21" s="309">
        <v>305</v>
      </c>
      <c r="N21" s="61">
        <v>86</v>
      </c>
      <c r="O21" s="35">
        <v>391</v>
      </c>
      <c r="P21" s="131">
        <v>102</v>
      </c>
      <c r="Q21" s="131">
        <v>92</v>
      </c>
      <c r="R21" s="131">
        <v>97</v>
      </c>
      <c r="S21" s="309">
        <v>291</v>
      </c>
      <c r="T21" s="61">
        <v>96</v>
      </c>
      <c r="U21" s="35">
        <v>387</v>
      </c>
    </row>
    <row r="22" spans="1:21" s="3" customFormat="1" ht="19.149999999999999" customHeight="1">
      <c r="A22" s="60" t="s">
        <v>393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309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309">
        <v>865</v>
      </c>
      <c r="N22" s="61">
        <v>613</v>
      </c>
      <c r="O22" s="35">
        <v>1478</v>
      </c>
      <c r="P22" s="67">
        <v>323</v>
      </c>
      <c r="Q22" s="67">
        <v>85</v>
      </c>
      <c r="R22" s="67">
        <v>377</v>
      </c>
      <c r="S22" s="309">
        <v>785</v>
      </c>
      <c r="T22" s="61">
        <v>254</v>
      </c>
      <c r="U22" s="35">
        <v>1039</v>
      </c>
    </row>
    <row r="23" spans="1:21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310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310"/>
      <c r="N23" s="63">
        <v>1.1508771929824562</v>
      </c>
      <c r="O23" s="23"/>
      <c r="P23" s="63">
        <v>-0.4730831973898858</v>
      </c>
      <c r="Q23" s="63">
        <v>-0.73684210526315796</v>
      </c>
      <c r="R23" s="63">
        <v>3.4352941176470591</v>
      </c>
      <c r="S23" s="310"/>
      <c r="T23" s="63">
        <v>-0.32625994694960214</v>
      </c>
      <c r="U23" s="23"/>
    </row>
    <row r="24" spans="1:21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311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311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64">
        <v>0.32280701754385954</v>
      </c>
      <c r="S24" s="311">
        <v>-9.2485549132947931E-2</v>
      </c>
      <c r="T24" s="64">
        <v>-0.5856443719412725</v>
      </c>
      <c r="U24" s="23">
        <v>-0.29702300405953996</v>
      </c>
    </row>
    <row r="25" spans="1:21" s="3" customFormat="1" ht="13.5" customHeight="1">
      <c r="A25" s="328" t="s">
        <v>183</v>
      </c>
      <c r="B25" s="322"/>
      <c r="C25" s="322"/>
      <c r="D25" s="330"/>
      <c r="E25" s="330"/>
      <c r="F25" s="330"/>
      <c r="G25" s="330"/>
      <c r="H25" s="330"/>
      <c r="I25" s="322"/>
      <c r="J25" s="330"/>
      <c r="K25" s="330"/>
      <c r="L25" s="330"/>
      <c r="M25" s="330"/>
      <c r="N25" s="330"/>
      <c r="O25" s="322"/>
      <c r="P25" s="330"/>
      <c r="Q25" s="330"/>
      <c r="R25" s="330"/>
      <c r="S25" s="330"/>
      <c r="T25" s="330"/>
      <c r="U25" s="322"/>
    </row>
    <row r="26" spans="1:21" s="3" customFormat="1" ht="13.5" customHeight="1">
      <c r="A26" s="60" t="s">
        <v>131</v>
      </c>
      <c r="B26" s="155">
        <v>206</v>
      </c>
      <c r="C26" s="155">
        <v>269</v>
      </c>
      <c r="D26" s="136">
        <v>-18</v>
      </c>
      <c r="E26" s="136">
        <v>45</v>
      </c>
      <c r="F26" s="136">
        <v>20</v>
      </c>
      <c r="G26" s="309">
        <v>47</v>
      </c>
      <c r="H26" s="61">
        <v>56</v>
      </c>
      <c r="I26" s="155">
        <v>103</v>
      </c>
      <c r="J26" s="136">
        <v>-44</v>
      </c>
      <c r="K26" s="61">
        <v>0</v>
      </c>
      <c r="L26" s="136">
        <v>26</v>
      </c>
      <c r="M26" s="320">
        <v>-18</v>
      </c>
      <c r="N26" s="136">
        <v>75</v>
      </c>
      <c r="O26" s="155">
        <v>57</v>
      </c>
      <c r="P26" s="136">
        <v>-59</v>
      </c>
      <c r="Q26" s="61">
        <v>12</v>
      </c>
      <c r="R26" s="136">
        <v>17</v>
      </c>
      <c r="S26" s="320">
        <v>-30</v>
      </c>
      <c r="T26" s="136">
        <v>-199</v>
      </c>
      <c r="U26" s="155">
        <v>-229</v>
      </c>
    </row>
    <row r="27" spans="1:21" s="3" customFormat="1" ht="13.5" customHeight="1">
      <c r="A27"/>
      <c r="B27" s="57"/>
      <c r="C27" s="57"/>
      <c r="D27" s="61"/>
      <c r="E27" s="61"/>
      <c r="F27" s="61"/>
      <c r="G27" s="309"/>
      <c r="H27" s="61"/>
      <c r="I27" s="57"/>
      <c r="J27" s="61"/>
      <c r="K27" s="61"/>
      <c r="L27" s="61"/>
      <c r="M27" s="309"/>
      <c r="N27" s="61"/>
      <c r="O27" s="155"/>
      <c r="P27" s="61"/>
      <c r="Q27" s="61"/>
      <c r="R27" s="61"/>
      <c r="S27" s="309"/>
      <c r="T27" s="61"/>
      <c r="U27" s="155"/>
    </row>
    <row r="28" spans="1:21" s="3" customFormat="1" ht="13.5" customHeight="1">
      <c r="A28" s="60" t="s">
        <v>132</v>
      </c>
      <c r="B28" s="155">
        <v>-35</v>
      </c>
      <c r="C28" s="155">
        <v>-5</v>
      </c>
      <c r="D28" s="136">
        <v>-9</v>
      </c>
      <c r="E28" s="61">
        <v>0</v>
      </c>
      <c r="F28" s="136">
        <v>4</v>
      </c>
      <c r="G28" s="320">
        <v>-5</v>
      </c>
      <c r="H28" s="136">
        <v>-14</v>
      </c>
      <c r="I28" s="155">
        <v>-19</v>
      </c>
      <c r="J28" s="136">
        <v>-17</v>
      </c>
      <c r="K28" s="136">
        <v>-3</v>
      </c>
      <c r="L28" s="136">
        <v>10</v>
      </c>
      <c r="M28" s="320">
        <v>-10</v>
      </c>
      <c r="N28" s="136">
        <v>23</v>
      </c>
      <c r="O28" s="155">
        <v>13</v>
      </c>
      <c r="P28" s="136">
        <v>-18</v>
      </c>
      <c r="Q28" s="136">
        <v>3</v>
      </c>
      <c r="R28" s="136">
        <v>1</v>
      </c>
      <c r="S28" s="320">
        <v>-14</v>
      </c>
      <c r="T28" s="136">
        <v>-5</v>
      </c>
      <c r="U28" s="155">
        <v>-19</v>
      </c>
    </row>
    <row r="29" spans="1:21" s="3" customFormat="1" ht="13.5" customHeight="1">
      <c r="A29" s="62"/>
      <c r="B29" s="155"/>
      <c r="C29" s="155"/>
      <c r="D29" s="136"/>
      <c r="E29" s="136"/>
      <c r="F29" s="136"/>
      <c r="G29" s="320"/>
      <c r="H29" s="136"/>
      <c r="I29" s="155"/>
      <c r="J29" s="136"/>
      <c r="K29" s="136"/>
      <c r="L29" s="136"/>
      <c r="M29" s="320"/>
      <c r="N29" s="136"/>
      <c r="O29" s="155"/>
      <c r="P29" s="136"/>
      <c r="Q29" s="136"/>
      <c r="R29" s="136"/>
      <c r="S29" s="320"/>
      <c r="T29" s="136"/>
      <c r="U29" s="155"/>
    </row>
    <row r="30" spans="1:21" s="3" customFormat="1" ht="13.5" customHeight="1">
      <c r="A30" s="60" t="s">
        <v>133</v>
      </c>
      <c r="B30" s="155">
        <v>9</v>
      </c>
      <c r="C30" s="155">
        <v>-132</v>
      </c>
      <c r="D30" s="136">
        <v>6</v>
      </c>
      <c r="E30" s="136">
        <v>-176</v>
      </c>
      <c r="F30" s="136">
        <v>50</v>
      </c>
      <c r="G30" s="320">
        <v>-120</v>
      </c>
      <c r="H30" s="61">
        <v>43</v>
      </c>
      <c r="I30" s="155">
        <v>-77</v>
      </c>
      <c r="J30" s="136">
        <v>98</v>
      </c>
      <c r="K30" s="136">
        <v>-223</v>
      </c>
      <c r="L30" s="136">
        <v>34</v>
      </c>
      <c r="M30" s="320">
        <v>-91</v>
      </c>
      <c r="N30" s="136">
        <v>108</v>
      </c>
      <c r="O30" s="155">
        <v>17</v>
      </c>
      <c r="P30" s="136">
        <v>26</v>
      </c>
      <c r="Q30" s="136">
        <v>-184</v>
      </c>
      <c r="R30" s="136">
        <v>60</v>
      </c>
      <c r="S30" s="320">
        <v>-98</v>
      </c>
      <c r="T30" s="136">
        <v>57</v>
      </c>
      <c r="U30" s="155">
        <v>-41</v>
      </c>
    </row>
    <row r="31" spans="1:21" s="3" customFormat="1" ht="13.5" customHeight="1">
      <c r="A31" s="62"/>
      <c r="B31" s="155"/>
      <c r="C31" s="155"/>
      <c r="D31" s="136"/>
      <c r="E31" s="136"/>
      <c r="F31" s="136"/>
      <c r="G31" s="320"/>
      <c r="H31" s="136"/>
      <c r="I31" s="155"/>
      <c r="J31" s="136"/>
      <c r="K31" s="136"/>
      <c r="L31" s="136"/>
      <c r="M31" s="320"/>
      <c r="N31" s="136"/>
      <c r="O31" s="155"/>
      <c r="P31" s="136"/>
      <c r="Q31" s="136"/>
      <c r="R31" s="136"/>
      <c r="S31" s="320"/>
      <c r="T31" s="136"/>
      <c r="U31" s="155"/>
    </row>
    <row r="32" spans="1:21" s="3" customFormat="1" ht="15" customHeight="1">
      <c r="A32" s="60" t="s">
        <v>134</v>
      </c>
      <c r="B32" s="155">
        <v>15</v>
      </c>
      <c r="C32" s="155">
        <v>81</v>
      </c>
      <c r="D32" s="135">
        <v>-30</v>
      </c>
      <c r="E32" s="135">
        <v>3</v>
      </c>
      <c r="F32" s="135">
        <v>-5</v>
      </c>
      <c r="G32" s="320">
        <v>-32</v>
      </c>
      <c r="H32" s="136">
        <v>-17</v>
      </c>
      <c r="I32" s="155">
        <v>-49</v>
      </c>
      <c r="J32" s="61">
        <v>0</v>
      </c>
      <c r="K32" s="135">
        <v>-3</v>
      </c>
      <c r="L32" s="135">
        <v>-8</v>
      </c>
      <c r="M32" s="320">
        <v>-11</v>
      </c>
      <c r="N32" s="136">
        <v>3</v>
      </c>
      <c r="O32" s="155">
        <v>-8</v>
      </c>
      <c r="P32" s="136">
        <v>-29</v>
      </c>
      <c r="Q32" s="135">
        <v>-3</v>
      </c>
      <c r="R32" s="135">
        <v>-2</v>
      </c>
      <c r="S32" s="320">
        <v>-34</v>
      </c>
      <c r="T32" s="136">
        <v>-13</v>
      </c>
      <c r="U32" s="155">
        <v>-47</v>
      </c>
    </row>
    <row r="33" spans="1:21" s="3" customFormat="1" ht="13.5" customHeight="1">
      <c r="A33" s="60"/>
      <c r="B33" s="155"/>
      <c r="C33" s="155"/>
      <c r="D33" s="136"/>
      <c r="E33" s="136"/>
      <c r="F33" s="136"/>
      <c r="G33" s="320"/>
      <c r="H33" s="136"/>
      <c r="I33" s="155"/>
      <c r="J33" s="136"/>
      <c r="K33" s="136"/>
      <c r="L33" s="136"/>
      <c r="M33" s="320"/>
      <c r="N33" s="136"/>
      <c r="O33" s="155"/>
      <c r="P33" s="136"/>
      <c r="Q33" s="136"/>
      <c r="R33" s="136"/>
      <c r="S33" s="320"/>
      <c r="T33" s="136"/>
      <c r="U33" s="155"/>
    </row>
    <row r="34" spans="1:21" s="3" customFormat="1" ht="13.5" customHeight="1">
      <c r="A34" s="60" t="s">
        <v>135</v>
      </c>
      <c r="B34" s="155">
        <v>-33</v>
      </c>
      <c r="C34" s="155">
        <v>489</v>
      </c>
      <c r="D34" s="136">
        <v>-46</v>
      </c>
      <c r="E34" s="136">
        <v>-52</v>
      </c>
      <c r="F34" s="136">
        <v>-58</v>
      </c>
      <c r="G34" s="320">
        <v>-156</v>
      </c>
      <c r="H34" s="61">
        <v>106</v>
      </c>
      <c r="I34" s="155">
        <v>-50</v>
      </c>
      <c r="J34" s="136">
        <v>-88</v>
      </c>
      <c r="K34" s="136">
        <v>-78</v>
      </c>
      <c r="L34" s="136">
        <v>-66</v>
      </c>
      <c r="M34" s="320">
        <v>-232</v>
      </c>
      <c r="N34" s="136">
        <v>40</v>
      </c>
      <c r="O34" s="155">
        <v>-192</v>
      </c>
      <c r="P34" s="136">
        <v>-37</v>
      </c>
      <c r="Q34" s="136">
        <v>-93</v>
      </c>
      <c r="R34" s="136">
        <v>-20</v>
      </c>
      <c r="S34" s="320">
        <v>-150</v>
      </c>
      <c r="T34" s="136">
        <v>85</v>
      </c>
      <c r="U34" s="155">
        <v>-65</v>
      </c>
    </row>
    <row r="35" spans="1:21" s="3" customFormat="1" ht="12" customHeight="1">
      <c r="A35" s="60"/>
      <c r="B35" s="155"/>
      <c r="C35" s="155"/>
      <c r="D35" s="136"/>
      <c r="E35" s="136"/>
      <c r="F35" s="136"/>
      <c r="G35" s="320"/>
      <c r="H35" s="136"/>
      <c r="I35" s="155"/>
      <c r="J35" s="136"/>
      <c r="K35" s="136"/>
      <c r="L35" s="136"/>
      <c r="M35" s="320"/>
      <c r="N35" s="136"/>
      <c r="O35" s="155"/>
      <c r="P35" s="136"/>
      <c r="Q35" s="136"/>
      <c r="R35" s="136"/>
      <c r="S35" s="320"/>
      <c r="T35" s="136"/>
      <c r="U35" s="155"/>
    </row>
    <row r="36" spans="1:21" s="3" customFormat="1" ht="18" customHeight="1">
      <c r="A36" s="79" t="s">
        <v>299</v>
      </c>
      <c r="B36" s="155">
        <v>-34</v>
      </c>
      <c r="C36" s="55">
        <v>0</v>
      </c>
      <c r="D36" s="136">
        <v>-12</v>
      </c>
      <c r="E36" s="136">
        <v>6</v>
      </c>
      <c r="F36" s="136">
        <v>-11</v>
      </c>
      <c r="G36" s="320">
        <v>-17</v>
      </c>
      <c r="H36" s="61">
        <v>9</v>
      </c>
      <c r="I36" s="155">
        <v>-8</v>
      </c>
      <c r="J36" s="136">
        <v>-7</v>
      </c>
      <c r="K36" s="61">
        <v>0</v>
      </c>
      <c r="L36" s="136">
        <v>-5</v>
      </c>
      <c r="M36" s="320">
        <v>-12</v>
      </c>
      <c r="N36" s="136">
        <v>18</v>
      </c>
      <c r="O36" s="155">
        <v>-1</v>
      </c>
      <c r="P36" s="136">
        <v>2</v>
      </c>
      <c r="Q36" s="61">
        <v>1</v>
      </c>
      <c r="R36" s="136">
        <v>3</v>
      </c>
      <c r="S36" s="320">
        <v>6</v>
      </c>
      <c r="T36" s="136">
        <v>18</v>
      </c>
      <c r="U36" s="155">
        <v>-5</v>
      </c>
    </row>
    <row r="37" spans="1:21" s="3" customFormat="1" ht="13.5" customHeight="1">
      <c r="A37" s="156" t="s">
        <v>130</v>
      </c>
      <c r="B37" s="157">
        <v>128</v>
      </c>
      <c r="C37" s="157">
        <v>702</v>
      </c>
      <c r="D37" s="157">
        <v>-109</v>
      </c>
      <c r="E37" s="157">
        <v>-174</v>
      </c>
      <c r="F37" s="157">
        <v>0</v>
      </c>
      <c r="G37" s="157">
        <v>-283</v>
      </c>
      <c r="H37" s="157">
        <v>183</v>
      </c>
      <c r="I37" s="157">
        <v>-100</v>
      </c>
      <c r="J37" s="157">
        <v>-58</v>
      </c>
      <c r="K37" s="157">
        <v>-307</v>
      </c>
      <c r="L37" s="157">
        <v>-9</v>
      </c>
      <c r="M37" s="157">
        <v>-374</v>
      </c>
      <c r="N37" s="157">
        <v>260</v>
      </c>
      <c r="O37" s="157">
        <v>-114</v>
      </c>
      <c r="P37" s="157">
        <v>-115</v>
      </c>
      <c r="Q37" s="157">
        <v>-264</v>
      </c>
      <c r="R37" s="157">
        <v>59</v>
      </c>
      <c r="S37" s="157">
        <v>-320</v>
      </c>
      <c r="T37" s="157">
        <v>-86</v>
      </c>
      <c r="U37" s="157">
        <v>-406</v>
      </c>
    </row>
    <row r="38" spans="1:21" s="3" customFormat="1" ht="6.6" customHeight="1">
      <c r="A38" s="60"/>
      <c r="B38" s="155"/>
      <c r="C38" s="155"/>
      <c r="D38" s="136"/>
      <c r="E38" s="136"/>
      <c r="F38" s="136"/>
      <c r="G38" s="320"/>
      <c r="H38" s="136"/>
      <c r="I38" s="155"/>
      <c r="J38" s="136"/>
      <c r="K38" s="136"/>
      <c r="L38" s="136"/>
      <c r="M38" s="320"/>
      <c r="N38" s="136"/>
      <c r="O38" s="155"/>
      <c r="P38" s="136"/>
      <c r="Q38" s="136"/>
      <c r="R38" s="136"/>
      <c r="S38" s="320"/>
      <c r="T38" s="136"/>
      <c r="U38" s="155"/>
    </row>
    <row r="39" spans="1:21" s="3" customFormat="1" ht="13.5" customHeight="1">
      <c r="A39" s="60" t="s">
        <v>136</v>
      </c>
      <c r="B39" s="155">
        <v>446</v>
      </c>
      <c r="C39" s="155">
        <v>467</v>
      </c>
      <c r="D39" s="136">
        <v>49</v>
      </c>
      <c r="E39" s="136">
        <v>104</v>
      </c>
      <c r="F39" s="136">
        <v>89</v>
      </c>
      <c r="G39" s="309">
        <v>242</v>
      </c>
      <c r="H39" s="61">
        <v>83</v>
      </c>
      <c r="I39" s="155">
        <v>325</v>
      </c>
      <c r="J39" s="61">
        <v>0</v>
      </c>
      <c r="K39" s="136">
        <v>86</v>
      </c>
      <c r="L39" s="136">
        <v>78</v>
      </c>
      <c r="M39" s="309">
        <v>164</v>
      </c>
      <c r="N39" s="136">
        <v>79</v>
      </c>
      <c r="O39" s="155">
        <v>243</v>
      </c>
      <c r="P39" s="61">
        <v>135</v>
      </c>
      <c r="Q39" s="136">
        <v>83</v>
      </c>
      <c r="R39" s="136">
        <v>84</v>
      </c>
      <c r="S39" s="309">
        <v>302</v>
      </c>
      <c r="T39" s="136">
        <v>83</v>
      </c>
      <c r="U39" s="155">
        <v>385</v>
      </c>
    </row>
    <row r="40" spans="1:21" s="3" customFormat="1" ht="4.1500000000000004" customHeight="1">
      <c r="A40" s="60"/>
      <c r="B40" s="155"/>
      <c r="C40" s="155"/>
      <c r="D40" s="136"/>
      <c r="E40" s="136"/>
      <c r="F40" s="136"/>
      <c r="G40" s="320"/>
      <c r="H40" s="136"/>
      <c r="I40" s="155"/>
      <c r="J40" s="136"/>
      <c r="K40" s="136"/>
      <c r="L40" s="136"/>
      <c r="M40" s="320"/>
      <c r="N40" s="136"/>
      <c r="O40" s="155"/>
      <c r="P40" s="136"/>
      <c r="Q40" s="136"/>
      <c r="R40" s="136"/>
      <c r="S40" s="320"/>
      <c r="T40" s="136"/>
      <c r="U40" s="155"/>
    </row>
    <row r="41" spans="1:21" s="3" customFormat="1" ht="11.45" customHeight="1">
      <c r="A41" s="60" t="s">
        <v>137</v>
      </c>
      <c r="B41" s="155">
        <v>415</v>
      </c>
      <c r="C41" s="155">
        <v>421</v>
      </c>
      <c r="D41" s="136">
        <v>5</v>
      </c>
      <c r="E41" s="136">
        <v>185</v>
      </c>
      <c r="F41" s="136">
        <v>21</v>
      </c>
      <c r="G41" s="309">
        <v>211</v>
      </c>
      <c r="H41" s="61">
        <v>181</v>
      </c>
      <c r="I41" s="155">
        <v>392</v>
      </c>
      <c r="J41" s="136">
        <v>5</v>
      </c>
      <c r="K41" s="136">
        <v>154</v>
      </c>
      <c r="L41" s="136">
        <v>5</v>
      </c>
      <c r="M41" s="309">
        <v>164</v>
      </c>
      <c r="N41" s="136">
        <v>150</v>
      </c>
      <c r="O41" s="155">
        <v>314</v>
      </c>
      <c r="P41" s="136">
        <v>5</v>
      </c>
      <c r="Q41" s="136">
        <v>123</v>
      </c>
      <c r="R41" s="136">
        <v>7</v>
      </c>
      <c r="S41" s="309">
        <v>135</v>
      </c>
      <c r="T41" s="136">
        <v>119</v>
      </c>
      <c r="U41" s="155">
        <v>254</v>
      </c>
    </row>
    <row r="42" spans="1:21" s="3" customFormat="1" ht="14.45" customHeight="1">
      <c r="A42" s="69" t="s">
        <v>192</v>
      </c>
      <c r="B42" s="155">
        <v>3397</v>
      </c>
      <c r="C42" s="155">
        <v>2810</v>
      </c>
      <c r="D42" s="136">
        <v>757</v>
      </c>
      <c r="E42" s="136">
        <v>708</v>
      </c>
      <c r="F42" s="136">
        <v>672</v>
      </c>
      <c r="G42" s="309">
        <v>2137</v>
      </c>
      <c r="H42" s="61">
        <v>887</v>
      </c>
      <c r="I42" s="155">
        <v>3024</v>
      </c>
      <c r="J42" s="136">
        <v>824</v>
      </c>
      <c r="K42" s="136">
        <v>782</v>
      </c>
      <c r="L42" s="136">
        <v>733</v>
      </c>
      <c r="M42" s="309">
        <v>2339</v>
      </c>
      <c r="N42" s="136">
        <v>995</v>
      </c>
      <c r="O42" s="155">
        <v>3334</v>
      </c>
      <c r="P42" s="136">
        <v>713</v>
      </c>
      <c r="Q42" s="136">
        <v>766</v>
      </c>
      <c r="R42" s="136">
        <v>758</v>
      </c>
      <c r="S42" s="309">
        <v>2237</v>
      </c>
      <c r="T42" s="136">
        <v>1008</v>
      </c>
      <c r="U42" s="155">
        <v>3245</v>
      </c>
    </row>
    <row r="43" spans="1:21" s="3" customFormat="1" ht="4.5" customHeight="1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N50"/>
  <sheetViews>
    <sheetView showGridLines="0" tabSelected="1" topLeftCell="A4" workbookViewId="0">
      <pane xSplit="1" ySplit="9" topLeftCell="B37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45.42578125" customWidth="1"/>
    <col min="3" max="5" width="0" hidden="1" customWidth="1"/>
  </cols>
  <sheetData>
    <row r="3" spans="1:14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4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4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4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4">
      <c r="A7" s="30"/>
      <c r="B7" s="299">
        <v>11658</v>
      </c>
      <c r="C7" s="299">
        <v>11383</v>
      </c>
      <c r="D7" s="299">
        <v>11110</v>
      </c>
      <c r="E7" s="45" t="s">
        <v>381</v>
      </c>
      <c r="F7" s="299">
        <v>11658</v>
      </c>
      <c r="G7" s="299">
        <v>11383</v>
      </c>
      <c r="H7" s="299">
        <v>11110</v>
      </c>
      <c r="I7" s="45" t="s">
        <v>381</v>
      </c>
      <c r="J7" s="299">
        <v>11658</v>
      </c>
      <c r="K7" s="299">
        <v>11383</v>
      </c>
      <c r="L7" s="299">
        <v>11110</v>
      </c>
      <c r="M7" s="299" t="s">
        <v>381</v>
      </c>
      <c r="N7" s="299">
        <v>11658</v>
      </c>
    </row>
    <row r="8" spans="1:14">
      <c r="A8" s="237" t="s">
        <v>259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</row>
    <row r="9" spans="1:14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20.25">
      <c r="A10" s="33" t="s">
        <v>261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>
      <c r="A12" s="328" t="s">
        <v>289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1:14">
      <c r="A13" s="60" t="s">
        <v>158</v>
      </c>
      <c r="B13" s="155">
        <v>890</v>
      </c>
      <c r="C13" s="136">
        <v>1265</v>
      </c>
      <c r="D13" s="136">
        <v>971</v>
      </c>
      <c r="E13" s="136">
        <v>639</v>
      </c>
      <c r="F13" s="155">
        <v>400</v>
      </c>
      <c r="G13" s="136">
        <v>927</v>
      </c>
      <c r="H13" s="136">
        <v>708</v>
      </c>
      <c r="I13" s="136">
        <v>897</v>
      </c>
      <c r="J13" s="155">
        <v>840</v>
      </c>
      <c r="K13" s="136">
        <v>1124</v>
      </c>
      <c r="L13" s="136">
        <v>907</v>
      </c>
      <c r="M13" s="136">
        <v>1019</v>
      </c>
      <c r="N13" s="155">
        <v>973</v>
      </c>
    </row>
    <row r="14" spans="1:14">
      <c r="A14" s="60" t="s">
        <v>159</v>
      </c>
      <c r="B14" s="155">
        <v>1404</v>
      </c>
      <c r="C14" s="136">
        <v>1347</v>
      </c>
      <c r="D14" s="136">
        <v>1944</v>
      </c>
      <c r="E14" s="136">
        <v>1750</v>
      </c>
      <c r="F14" s="155">
        <v>1195</v>
      </c>
      <c r="G14" s="136">
        <v>1114</v>
      </c>
      <c r="H14" s="136">
        <v>1221</v>
      </c>
      <c r="I14" s="136">
        <v>1306</v>
      </c>
      <c r="J14" s="155">
        <v>724</v>
      </c>
      <c r="K14" s="136">
        <v>663</v>
      </c>
      <c r="L14" s="136">
        <v>739</v>
      </c>
      <c r="M14" s="136">
        <v>771</v>
      </c>
      <c r="N14" s="155">
        <v>954</v>
      </c>
    </row>
    <row r="15" spans="1:14">
      <c r="A15" s="60" t="s">
        <v>160</v>
      </c>
      <c r="B15" s="155">
        <v>1775</v>
      </c>
      <c r="C15" s="136">
        <v>1752</v>
      </c>
      <c r="D15" s="136">
        <v>1737</v>
      </c>
      <c r="E15" s="136">
        <v>1727</v>
      </c>
      <c r="F15" s="155">
        <v>1677</v>
      </c>
      <c r="G15" s="136">
        <v>1674</v>
      </c>
      <c r="H15" s="136">
        <v>1698</v>
      </c>
      <c r="I15" s="136">
        <v>1692</v>
      </c>
      <c r="J15" s="155">
        <v>1621</v>
      </c>
      <c r="K15" s="136">
        <v>1648</v>
      </c>
      <c r="L15" s="136">
        <v>1661</v>
      </c>
      <c r="M15" s="136">
        <v>1672</v>
      </c>
      <c r="N15" s="155">
        <v>1859</v>
      </c>
    </row>
    <row r="16" spans="1:14">
      <c r="A16" s="60" t="s">
        <v>161</v>
      </c>
      <c r="B16" s="155">
        <v>284</v>
      </c>
      <c r="C16" s="136">
        <v>298</v>
      </c>
      <c r="D16" s="136">
        <v>308</v>
      </c>
      <c r="E16" s="136">
        <v>341</v>
      </c>
      <c r="F16" s="155">
        <v>342</v>
      </c>
      <c r="G16" s="136">
        <v>357</v>
      </c>
      <c r="H16" s="136">
        <v>340</v>
      </c>
      <c r="I16" s="136">
        <v>332</v>
      </c>
      <c r="J16" s="155">
        <v>178</v>
      </c>
      <c r="K16" s="136">
        <v>209</v>
      </c>
      <c r="L16" s="136">
        <v>195</v>
      </c>
      <c r="M16" s="136">
        <v>192</v>
      </c>
      <c r="N16" s="155">
        <v>279</v>
      </c>
    </row>
    <row r="17" spans="1:14">
      <c r="A17" s="60" t="s">
        <v>162</v>
      </c>
      <c r="B17" s="155">
        <v>97</v>
      </c>
      <c r="C17" s="136">
        <v>102</v>
      </c>
      <c r="D17" s="136">
        <v>100</v>
      </c>
      <c r="E17" s="136">
        <v>94</v>
      </c>
      <c r="F17" s="155">
        <v>96</v>
      </c>
      <c r="G17" s="136">
        <v>109</v>
      </c>
      <c r="H17" s="136">
        <v>110</v>
      </c>
      <c r="I17" s="136">
        <v>96</v>
      </c>
      <c r="J17" s="155">
        <v>73</v>
      </c>
      <c r="K17" s="136">
        <v>87</v>
      </c>
      <c r="L17" s="136">
        <v>82</v>
      </c>
      <c r="M17" s="136">
        <v>70</v>
      </c>
      <c r="N17" s="155">
        <v>74</v>
      </c>
    </row>
    <row r="18" spans="1:14">
      <c r="A18" s="60" t="s">
        <v>243</v>
      </c>
      <c r="B18" s="191" t="s">
        <v>114</v>
      </c>
      <c r="C18" s="135" t="s">
        <v>114</v>
      </c>
      <c r="D18" s="135" t="s">
        <v>114</v>
      </c>
      <c r="E18" s="135" t="s">
        <v>114</v>
      </c>
      <c r="F18" s="191">
        <v>43</v>
      </c>
      <c r="G18" s="135">
        <v>45</v>
      </c>
      <c r="H18" s="135">
        <v>46</v>
      </c>
      <c r="I18" s="135">
        <v>46</v>
      </c>
      <c r="J18" s="191">
        <v>10</v>
      </c>
      <c r="K18" s="135">
        <v>2</v>
      </c>
      <c r="L18" s="135" t="s">
        <v>114</v>
      </c>
      <c r="M18" s="135">
        <v>36</v>
      </c>
      <c r="N18" s="55">
        <v>0</v>
      </c>
    </row>
    <row r="19" spans="1:14">
      <c r="A19" s="328" t="s">
        <v>163</v>
      </c>
      <c r="B19" s="331">
        <f>SUM(B13:B17)</f>
        <v>4450</v>
      </c>
      <c r="C19" s="331">
        <f>SUM(C13:C17)</f>
        <v>4764</v>
      </c>
      <c r="D19" s="331">
        <f>SUM(D13:D17)</f>
        <v>5060</v>
      </c>
      <c r="E19" s="331">
        <f>SUM(E13:E17)</f>
        <v>4551</v>
      </c>
      <c r="F19" s="331">
        <f t="shared" ref="F19:K19" si="0">SUM(F13:F18)</f>
        <v>3753</v>
      </c>
      <c r="G19" s="331">
        <f t="shared" si="0"/>
        <v>4226</v>
      </c>
      <c r="H19" s="331">
        <f t="shared" si="0"/>
        <v>4123</v>
      </c>
      <c r="I19" s="331">
        <f t="shared" si="0"/>
        <v>4369</v>
      </c>
      <c r="J19" s="331">
        <f t="shared" si="0"/>
        <v>3446</v>
      </c>
      <c r="K19" s="331">
        <f t="shared" si="0"/>
        <v>3733</v>
      </c>
      <c r="L19" s="331">
        <f>SUM(L13:L18)</f>
        <v>3584</v>
      </c>
      <c r="M19" s="331">
        <f>SUM(M13:M18)</f>
        <v>3760</v>
      </c>
      <c r="N19" s="331">
        <f>SUM(N13:N18)</f>
        <v>4139</v>
      </c>
    </row>
    <row r="20" spans="1:14">
      <c r="A20" s="60" t="s">
        <v>164</v>
      </c>
      <c r="B20" s="155">
        <v>470</v>
      </c>
      <c r="C20" s="136">
        <v>511</v>
      </c>
      <c r="D20" s="136">
        <v>535</v>
      </c>
      <c r="E20" s="136">
        <v>442</v>
      </c>
      <c r="F20" s="155">
        <v>477</v>
      </c>
      <c r="G20" s="136">
        <v>476</v>
      </c>
      <c r="H20" s="136">
        <v>454</v>
      </c>
      <c r="I20" s="136">
        <v>525</v>
      </c>
      <c r="J20" s="155">
        <v>514</v>
      </c>
      <c r="K20" s="136">
        <v>512</v>
      </c>
      <c r="L20" s="136">
        <v>513</v>
      </c>
      <c r="M20" s="136">
        <v>496</v>
      </c>
      <c r="N20" s="155">
        <v>433</v>
      </c>
    </row>
    <row r="21" spans="1:14">
      <c r="A21" s="60" t="s">
        <v>165</v>
      </c>
      <c r="B21" s="155">
        <v>60</v>
      </c>
      <c r="C21" s="136">
        <v>69</v>
      </c>
      <c r="D21" s="136">
        <v>59</v>
      </c>
      <c r="E21" s="136">
        <v>63</v>
      </c>
      <c r="F21" s="155">
        <v>59</v>
      </c>
      <c r="G21" s="136">
        <v>65</v>
      </c>
      <c r="H21" s="136">
        <v>65</v>
      </c>
      <c r="I21" s="136">
        <v>67</v>
      </c>
      <c r="J21" s="155">
        <v>67</v>
      </c>
      <c r="K21" s="136">
        <v>62</v>
      </c>
      <c r="L21" s="136">
        <v>60</v>
      </c>
      <c r="M21" s="136">
        <v>57</v>
      </c>
      <c r="N21" s="155">
        <v>60</v>
      </c>
    </row>
    <row r="22" spans="1:14">
      <c r="A22" s="60" t="s">
        <v>196</v>
      </c>
      <c r="B22" s="155">
        <v>1504</v>
      </c>
      <c r="C22" s="136">
        <v>1444</v>
      </c>
      <c r="D22" s="136">
        <v>1394</v>
      </c>
      <c r="E22" s="136">
        <v>1361</v>
      </c>
      <c r="F22" s="155">
        <v>1308</v>
      </c>
      <c r="G22" s="136">
        <v>1394</v>
      </c>
      <c r="H22" s="136">
        <v>1329</v>
      </c>
      <c r="I22" s="136">
        <v>1276</v>
      </c>
      <c r="J22" s="155">
        <v>1804</v>
      </c>
      <c r="K22" s="136">
        <v>1735</v>
      </c>
      <c r="L22" s="136">
        <v>1786</v>
      </c>
      <c r="M22" s="136">
        <v>1763</v>
      </c>
      <c r="N22" s="155">
        <v>1828</v>
      </c>
    </row>
    <row r="23" spans="1:14">
      <c r="A23" s="60" t="s">
        <v>166</v>
      </c>
      <c r="B23" s="155">
        <v>6214</v>
      </c>
      <c r="C23" s="136">
        <v>6215</v>
      </c>
      <c r="D23" s="136">
        <v>6245</v>
      </c>
      <c r="E23" s="136">
        <v>6217</v>
      </c>
      <c r="F23" s="155">
        <v>6039</v>
      </c>
      <c r="G23" s="136">
        <v>6072</v>
      </c>
      <c r="H23" s="136">
        <v>6076</v>
      </c>
      <c r="I23" s="136">
        <v>6069</v>
      </c>
      <c r="J23" s="155">
        <v>6131</v>
      </c>
      <c r="K23" s="136">
        <v>6182</v>
      </c>
      <c r="L23" s="136">
        <v>6267</v>
      </c>
      <c r="M23" s="136">
        <v>6266</v>
      </c>
      <c r="N23" s="155">
        <v>6312</v>
      </c>
    </row>
    <row r="24" spans="1:14">
      <c r="A24" s="60" t="s">
        <v>167</v>
      </c>
      <c r="B24" s="155">
        <v>1919</v>
      </c>
      <c r="C24" s="136">
        <v>1923</v>
      </c>
      <c r="D24" s="136">
        <v>977</v>
      </c>
      <c r="E24" s="136">
        <v>968</v>
      </c>
      <c r="F24" s="155">
        <v>916</v>
      </c>
      <c r="G24" s="136">
        <v>916</v>
      </c>
      <c r="H24" s="136">
        <v>935</v>
      </c>
      <c r="I24" s="136">
        <v>952</v>
      </c>
      <c r="J24" s="155">
        <v>929</v>
      </c>
      <c r="K24" s="136">
        <v>937</v>
      </c>
      <c r="L24" s="136">
        <v>938</v>
      </c>
      <c r="M24" s="136">
        <v>927</v>
      </c>
      <c r="N24" s="155">
        <v>912</v>
      </c>
    </row>
    <row r="25" spans="1:14">
      <c r="A25" s="60" t="s">
        <v>168</v>
      </c>
      <c r="B25" s="155">
        <v>1205</v>
      </c>
      <c r="C25" s="136">
        <v>1193</v>
      </c>
      <c r="D25" s="136">
        <v>12</v>
      </c>
      <c r="E25" s="136">
        <v>18</v>
      </c>
      <c r="F25" s="155">
        <v>81</v>
      </c>
      <c r="G25" s="136">
        <v>61</v>
      </c>
      <c r="H25" s="136">
        <v>57</v>
      </c>
      <c r="I25" s="136">
        <v>53</v>
      </c>
      <c r="J25" s="155">
        <v>108</v>
      </c>
      <c r="K25" s="136">
        <v>57</v>
      </c>
      <c r="L25" s="136">
        <v>42</v>
      </c>
      <c r="M25" s="136">
        <v>37</v>
      </c>
      <c r="N25" s="155">
        <v>24</v>
      </c>
    </row>
    <row r="26" spans="1:14">
      <c r="A26" s="60" t="s">
        <v>169</v>
      </c>
      <c r="B26" s="155">
        <v>468</v>
      </c>
      <c r="C26" s="136">
        <v>472</v>
      </c>
      <c r="D26" s="136">
        <v>474</v>
      </c>
      <c r="E26" s="136">
        <v>477</v>
      </c>
      <c r="F26" s="155">
        <v>358</v>
      </c>
      <c r="G26" s="136">
        <v>364</v>
      </c>
      <c r="H26" s="136">
        <v>361</v>
      </c>
      <c r="I26" s="136">
        <v>233</v>
      </c>
      <c r="J26" s="155">
        <v>242</v>
      </c>
      <c r="K26" s="136">
        <v>330</v>
      </c>
      <c r="L26" s="136">
        <v>323</v>
      </c>
      <c r="M26" s="136">
        <v>226</v>
      </c>
      <c r="N26" s="155">
        <v>226</v>
      </c>
    </row>
    <row r="27" spans="1:14">
      <c r="A27" s="60" t="s">
        <v>201</v>
      </c>
      <c r="B27" s="155">
        <v>58</v>
      </c>
      <c r="C27" s="136">
        <v>58</v>
      </c>
      <c r="D27" s="135" t="s">
        <v>114</v>
      </c>
      <c r="E27" s="135" t="s">
        <v>114</v>
      </c>
      <c r="F27" s="191" t="s">
        <v>114</v>
      </c>
      <c r="G27" s="135" t="s">
        <v>114</v>
      </c>
      <c r="H27" s="135" t="s">
        <v>114</v>
      </c>
      <c r="I27" s="135" t="s">
        <v>114</v>
      </c>
      <c r="J27" s="191" t="s">
        <v>114</v>
      </c>
      <c r="K27" s="135" t="s">
        <v>114</v>
      </c>
      <c r="L27" s="135" t="s">
        <v>114</v>
      </c>
      <c r="M27" s="135" t="s">
        <v>114</v>
      </c>
      <c r="N27" s="191" t="s">
        <v>114</v>
      </c>
    </row>
    <row r="28" spans="1:14">
      <c r="A28" s="328" t="s">
        <v>170</v>
      </c>
      <c r="B28" s="331">
        <f t="shared" ref="B28:N28" si="1">SUM(B20:B27)</f>
        <v>11898</v>
      </c>
      <c r="C28" s="331">
        <f t="shared" si="1"/>
        <v>11885</v>
      </c>
      <c r="D28" s="331">
        <f t="shared" si="1"/>
        <v>9696</v>
      </c>
      <c r="E28" s="331">
        <f t="shared" si="1"/>
        <v>9546</v>
      </c>
      <c r="F28" s="331">
        <f t="shared" si="1"/>
        <v>9238</v>
      </c>
      <c r="G28" s="331">
        <f t="shared" si="1"/>
        <v>9348</v>
      </c>
      <c r="H28" s="331">
        <f t="shared" si="1"/>
        <v>9277</v>
      </c>
      <c r="I28" s="331">
        <f t="shared" si="1"/>
        <v>9175</v>
      </c>
      <c r="J28" s="331">
        <f t="shared" si="1"/>
        <v>9795</v>
      </c>
      <c r="K28" s="331">
        <f t="shared" si="1"/>
        <v>9815</v>
      </c>
      <c r="L28" s="331">
        <f t="shared" si="1"/>
        <v>9929</v>
      </c>
      <c r="M28" s="331">
        <f t="shared" si="1"/>
        <v>9772</v>
      </c>
      <c r="N28" s="331">
        <f t="shared" si="1"/>
        <v>9795</v>
      </c>
    </row>
    <row r="29" spans="1:14">
      <c r="A29" s="328" t="s">
        <v>171</v>
      </c>
      <c r="B29" s="331">
        <f t="shared" ref="B29:N29" si="2">B28+B19</f>
        <v>16348</v>
      </c>
      <c r="C29" s="331">
        <f t="shared" si="2"/>
        <v>16649</v>
      </c>
      <c r="D29" s="331">
        <f t="shared" si="2"/>
        <v>14756</v>
      </c>
      <c r="E29" s="331">
        <f t="shared" si="2"/>
        <v>14097</v>
      </c>
      <c r="F29" s="331">
        <f t="shared" si="2"/>
        <v>12991</v>
      </c>
      <c r="G29" s="331">
        <f t="shared" si="2"/>
        <v>13574</v>
      </c>
      <c r="H29" s="331">
        <f t="shared" si="2"/>
        <v>13400</v>
      </c>
      <c r="I29" s="331">
        <f t="shared" si="2"/>
        <v>13544</v>
      </c>
      <c r="J29" s="331">
        <f t="shared" si="2"/>
        <v>13241</v>
      </c>
      <c r="K29" s="331">
        <f t="shared" si="2"/>
        <v>13548</v>
      </c>
      <c r="L29" s="331">
        <f t="shared" si="2"/>
        <v>13513</v>
      </c>
      <c r="M29" s="331">
        <f t="shared" si="2"/>
        <v>13532</v>
      </c>
      <c r="N29" s="331">
        <f t="shared" si="2"/>
        <v>13934</v>
      </c>
    </row>
    <row r="30" spans="1:14">
      <c r="A30" s="60" t="s">
        <v>172</v>
      </c>
      <c r="B30" s="155">
        <v>1542</v>
      </c>
      <c r="C30" s="136">
        <v>1538</v>
      </c>
      <c r="D30" s="136">
        <v>1625</v>
      </c>
      <c r="E30" s="136">
        <v>1126</v>
      </c>
      <c r="F30" s="155">
        <v>1007</v>
      </c>
      <c r="G30" s="136">
        <v>1002</v>
      </c>
      <c r="H30" s="136">
        <v>955</v>
      </c>
      <c r="I30" s="136">
        <v>957</v>
      </c>
      <c r="J30" s="155">
        <v>786</v>
      </c>
      <c r="K30" s="136">
        <v>785</v>
      </c>
      <c r="L30" s="136">
        <v>743</v>
      </c>
      <c r="M30" s="136">
        <v>745</v>
      </c>
      <c r="N30" s="155">
        <v>980</v>
      </c>
    </row>
    <row r="31" spans="1:14">
      <c r="A31" s="60" t="s">
        <v>195</v>
      </c>
      <c r="B31" s="155">
        <v>445</v>
      </c>
      <c r="C31" s="136">
        <v>422</v>
      </c>
      <c r="D31" s="136">
        <v>434</v>
      </c>
      <c r="E31" s="136">
        <v>427</v>
      </c>
      <c r="F31" s="155">
        <v>416</v>
      </c>
      <c r="G31" s="136">
        <v>415</v>
      </c>
      <c r="H31" s="136">
        <v>399</v>
      </c>
      <c r="I31" s="136">
        <v>387</v>
      </c>
      <c r="J31" s="155">
        <v>415</v>
      </c>
      <c r="K31" s="136">
        <v>402</v>
      </c>
      <c r="L31" s="136">
        <v>432</v>
      </c>
      <c r="M31" s="136">
        <v>440</v>
      </c>
      <c r="N31" s="155">
        <v>466</v>
      </c>
    </row>
    <row r="32" spans="1:14">
      <c r="A32" s="60" t="s">
        <v>173</v>
      </c>
      <c r="B32" s="155">
        <v>1855</v>
      </c>
      <c r="C32" s="136">
        <v>2010</v>
      </c>
      <c r="D32" s="136">
        <v>1600</v>
      </c>
      <c r="E32" s="136">
        <v>1681</v>
      </c>
      <c r="F32" s="155">
        <v>1614</v>
      </c>
      <c r="G32" s="136">
        <v>1834</v>
      </c>
      <c r="H32" s="136">
        <v>1580</v>
      </c>
      <c r="I32" s="136">
        <v>1669</v>
      </c>
      <c r="J32" s="155">
        <v>1759</v>
      </c>
      <c r="K32" s="136">
        <v>1793</v>
      </c>
      <c r="L32" s="136">
        <v>1567</v>
      </c>
      <c r="M32" s="136">
        <v>1699</v>
      </c>
      <c r="N32" s="155">
        <v>1748</v>
      </c>
    </row>
    <row r="33" spans="1:14">
      <c r="A33" s="60" t="s">
        <v>174</v>
      </c>
      <c r="B33" s="191" t="s">
        <v>114</v>
      </c>
      <c r="C33" s="136">
        <v>10</v>
      </c>
      <c r="D33" s="136">
        <v>20</v>
      </c>
      <c r="E33" s="136">
        <v>15</v>
      </c>
      <c r="F33" s="191" t="s">
        <v>114</v>
      </c>
      <c r="G33" s="136">
        <v>51</v>
      </c>
      <c r="H33" s="136">
        <v>46</v>
      </c>
      <c r="I33" s="136">
        <v>46</v>
      </c>
      <c r="J33" s="191" t="s">
        <v>114</v>
      </c>
      <c r="K33" s="66">
        <v>0</v>
      </c>
      <c r="L33" s="66">
        <v>0</v>
      </c>
      <c r="M33" s="66">
        <v>0</v>
      </c>
      <c r="N33" s="191" t="s">
        <v>114</v>
      </c>
    </row>
    <row r="34" spans="1:14">
      <c r="A34" s="60" t="s">
        <v>175</v>
      </c>
      <c r="B34" s="155">
        <v>581</v>
      </c>
      <c r="C34" s="136">
        <v>500</v>
      </c>
      <c r="D34" s="136">
        <v>443</v>
      </c>
      <c r="E34" s="136">
        <v>365</v>
      </c>
      <c r="F34" s="155">
        <v>654</v>
      </c>
      <c r="G34" s="136">
        <v>587</v>
      </c>
      <c r="H34" s="136">
        <v>486</v>
      </c>
      <c r="I34" s="136">
        <v>441</v>
      </c>
      <c r="J34" s="155">
        <v>482</v>
      </c>
      <c r="K34" s="136">
        <v>442</v>
      </c>
      <c r="L34" s="136">
        <v>462</v>
      </c>
      <c r="M34" s="136">
        <v>439</v>
      </c>
      <c r="N34" s="155">
        <v>510</v>
      </c>
    </row>
    <row r="35" spans="1:14">
      <c r="A35" s="60" t="s">
        <v>176</v>
      </c>
      <c r="B35" s="155">
        <v>175</v>
      </c>
      <c r="C35" s="136">
        <v>145</v>
      </c>
      <c r="D35" s="136">
        <v>148</v>
      </c>
      <c r="E35" s="136">
        <v>143</v>
      </c>
      <c r="F35" s="155">
        <v>125</v>
      </c>
      <c r="G35" s="136">
        <v>125</v>
      </c>
      <c r="H35" s="136">
        <v>122</v>
      </c>
      <c r="I35" s="136">
        <v>113</v>
      </c>
      <c r="J35" s="155">
        <v>117</v>
      </c>
      <c r="K35" s="136">
        <v>87</v>
      </c>
      <c r="L35" s="136">
        <v>84</v>
      </c>
      <c r="M35" s="136">
        <v>83</v>
      </c>
      <c r="N35" s="155">
        <v>69</v>
      </c>
    </row>
    <row r="36" spans="1:14">
      <c r="A36" s="328" t="s">
        <v>177</v>
      </c>
      <c r="B36" s="331">
        <f t="shared" ref="B36:K36" si="3">SUM(B30:B35)</f>
        <v>4598</v>
      </c>
      <c r="C36" s="331">
        <f t="shared" si="3"/>
        <v>4625</v>
      </c>
      <c r="D36" s="331">
        <f t="shared" si="3"/>
        <v>4270</v>
      </c>
      <c r="E36" s="331">
        <f t="shared" si="3"/>
        <v>3757</v>
      </c>
      <c r="F36" s="331">
        <f t="shared" si="3"/>
        <v>3816</v>
      </c>
      <c r="G36" s="331">
        <f t="shared" si="3"/>
        <v>4014</v>
      </c>
      <c r="H36" s="331">
        <f t="shared" si="3"/>
        <v>3588</v>
      </c>
      <c r="I36" s="331">
        <f t="shared" si="3"/>
        <v>3613</v>
      </c>
      <c r="J36" s="331">
        <f t="shared" si="3"/>
        <v>3559</v>
      </c>
      <c r="K36" s="331">
        <f t="shared" si="3"/>
        <v>3509</v>
      </c>
      <c r="L36" s="331">
        <f>SUM(L30:L35)</f>
        <v>3288</v>
      </c>
      <c r="M36" s="331">
        <f>SUM(M30:M35)</f>
        <v>3406</v>
      </c>
      <c r="N36" s="331">
        <f>SUM(N30:N35)</f>
        <v>3773</v>
      </c>
    </row>
    <row r="37" spans="1:14">
      <c r="A37" s="60" t="s">
        <v>180</v>
      </c>
      <c r="B37" s="155">
        <v>9637</v>
      </c>
      <c r="C37" s="136">
        <v>9618</v>
      </c>
      <c r="D37" s="136">
        <v>9709</v>
      </c>
      <c r="E37" s="136">
        <v>9393</v>
      </c>
      <c r="F37" s="155">
        <v>8551</v>
      </c>
      <c r="G37" s="136">
        <v>8535</v>
      </c>
      <c r="H37" s="136">
        <v>8517</v>
      </c>
      <c r="I37" s="136">
        <v>8507</v>
      </c>
      <c r="J37" s="155">
        <v>7614</v>
      </c>
      <c r="K37" s="136">
        <v>7611</v>
      </c>
      <c r="L37" s="136">
        <v>7569</v>
      </c>
      <c r="M37" s="136">
        <v>7279</v>
      </c>
      <c r="N37" s="155">
        <v>7082</v>
      </c>
    </row>
    <row r="38" spans="1:14">
      <c r="A38" s="60" t="s">
        <v>195</v>
      </c>
      <c r="B38" s="155">
        <v>1106</v>
      </c>
      <c r="C38" s="136">
        <v>1061</v>
      </c>
      <c r="D38" s="136">
        <v>1022</v>
      </c>
      <c r="E38" s="136">
        <v>989</v>
      </c>
      <c r="F38" s="155">
        <v>969</v>
      </c>
      <c r="G38" s="136">
        <v>1049</v>
      </c>
      <c r="H38" s="136">
        <v>1017</v>
      </c>
      <c r="I38" s="136">
        <v>971</v>
      </c>
      <c r="J38" s="155">
        <v>1492</v>
      </c>
      <c r="K38" s="136">
        <v>1438</v>
      </c>
      <c r="L38" s="136">
        <v>1477</v>
      </c>
      <c r="M38" s="136">
        <v>1457</v>
      </c>
      <c r="N38" s="155">
        <v>1511</v>
      </c>
    </row>
    <row r="39" spans="1:14">
      <c r="A39" s="60" t="s">
        <v>175</v>
      </c>
      <c r="B39" s="155">
        <v>445</v>
      </c>
      <c r="C39" s="136">
        <v>482</v>
      </c>
      <c r="D39" s="136">
        <v>487</v>
      </c>
      <c r="E39" s="136">
        <v>539</v>
      </c>
      <c r="F39" s="155">
        <v>356</v>
      </c>
      <c r="G39" s="136">
        <v>314</v>
      </c>
      <c r="H39" s="136">
        <v>344</v>
      </c>
      <c r="I39" s="136">
        <v>334</v>
      </c>
      <c r="J39" s="155">
        <v>335</v>
      </c>
      <c r="K39" s="136">
        <v>337</v>
      </c>
      <c r="L39" s="136">
        <v>226</v>
      </c>
      <c r="M39" s="136">
        <v>228</v>
      </c>
      <c r="N39" s="155">
        <v>243</v>
      </c>
    </row>
    <row r="40" spans="1:14">
      <c r="A40" s="60" t="s">
        <v>181</v>
      </c>
      <c r="B40" s="155">
        <v>174</v>
      </c>
      <c r="C40" s="136">
        <v>168</v>
      </c>
      <c r="D40" s="136">
        <v>163</v>
      </c>
      <c r="E40" s="136">
        <v>178</v>
      </c>
      <c r="F40" s="155">
        <v>139</v>
      </c>
      <c r="G40" s="136">
        <v>163</v>
      </c>
      <c r="H40" s="136">
        <v>176</v>
      </c>
      <c r="I40" s="136">
        <v>342</v>
      </c>
      <c r="J40" s="155">
        <v>307</v>
      </c>
      <c r="K40" s="136">
        <v>282</v>
      </c>
      <c r="L40" s="136">
        <v>273</v>
      </c>
      <c r="M40" s="136">
        <v>178</v>
      </c>
      <c r="N40" s="155">
        <v>142</v>
      </c>
    </row>
    <row r="41" spans="1:14">
      <c r="A41" s="60" t="s">
        <v>182</v>
      </c>
      <c r="B41" s="155">
        <v>56</v>
      </c>
      <c r="C41" s="136">
        <v>54</v>
      </c>
      <c r="D41" s="136">
        <v>53</v>
      </c>
      <c r="E41" s="136">
        <v>50</v>
      </c>
      <c r="F41" s="155">
        <v>43</v>
      </c>
      <c r="G41" s="136">
        <v>46</v>
      </c>
      <c r="H41" s="136">
        <v>46</v>
      </c>
      <c r="I41" s="136">
        <v>48</v>
      </c>
      <c r="J41" s="155">
        <v>32</v>
      </c>
      <c r="K41" s="136">
        <v>34</v>
      </c>
      <c r="L41" s="136">
        <v>40</v>
      </c>
      <c r="M41" s="136">
        <v>44</v>
      </c>
      <c r="N41" s="155">
        <v>38</v>
      </c>
    </row>
    <row r="42" spans="1:14">
      <c r="A42" s="60" t="s">
        <v>176</v>
      </c>
      <c r="B42" s="155">
        <v>38</v>
      </c>
      <c r="C42" s="136">
        <v>39</v>
      </c>
      <c r="D42" s="136">
        <v>39</v>
      </c>
      <c r="E42" s="136">
        <v>39</v>
      </c>
      <c r="F42" s="155">
        <v>49</v>
      </c>
      <c r="G42" s="136">
        <v>50</v>
      </c>
      <c r="H42" s="136">
        <v>50</v>
      </c>
      <c r="I42" s="136">
        <v>54</v>
      </c>
      <c r="J42" s="155">
        <v>52</v>
      </c>
      <c r="K42" s="136">
        <v>49</v>
      </c>
      <c r="L42" s="136">
        <v>49</v>
      </c>
      <c r="M42" s="136">
        <v>49</v>
      </c>
      <c r="N42" s="155">
        <v>49</v>
      </c>
    </row>
    <row r="43" spans="1:14">
      <c r="A43" s="328" t="s">
        <v>178</v>
      </c>
      <c r="B43" s="331">
        <f t="shared" ref="B43:N43" si="4">SUM(B37:B42)</f>
        <v>11456</v>
      </c>
      <c r="C43" s="331">
        <f t="shared" si="4"/>
        <v>11422</v>
      </c>
      <c r="D43" s="331">
        <f t="shared" si="4"/>
        <v>11473</v>
      </c>
      <c r="E43" s="331">
        <f t="shared" si="4"/>
        <v>11188</v>
      </c>
      <c r="F43" s="331">
        <f t="shared" si="4"/>
        <v>10107</v>
      </c>
      <c r="G43" s="331">
        <f t="shared" si="4"/>
        <v>10157</v>
      </c>
      <c r="H43" s="331">
        <f t="shared" si="4"/>
        <v>10150</v>
      </c>
      <c r="I43" s="331">
        <f t="shared" si="4"/>
        <v>10256</v>
      </c>
      <c r="J43" s="331">
        <f t="shared" si="4"/>
        <v>9832</v>
      </c>
      <c r="K43" s="331">
        <f t="shared" si="4"/>
        <v>9751</v>
      </c>
      <c r="L43" s="331">
        <f t="shared" si="4"/>
        <v>9634</v>
      </c>
      <c r="M43" s="331">
        <f t="shared" si="4"/>
        <v>9235</v>
      </c>
      <c r="N43" s="331">
        <f t="shared" si="4"/>
        <v>9065</v>
      </c>
    </row>
    <row r="44" spans="1:14">
      <c r="A44" s="328" t="s">
        <v>179</v>
      </c>
      <c r="B44" s="331">
        <v>294</v>
      </c>
      <c r="C44" s="331">
        <f t="shared" ref="C44:K44" si="5">C29-C36-C43</f>
        <v>602</v>
      </c>
      <c r="D44" s="331">
        <f t="shared" si="5"/>
        <v>-987</v>
      </c>
      <c r="E44" s="331">
        <f t="shared" si="5"/>
        <v>-848</v>
      </c>
      <c r="F44" s="331">
        <f t="shared" si="5"/>
        <v>-932</v>
      </c>
      <c r="G44" s="331">
        <f t="shared" si="5"/>
        <v>-597</v>
      </c>
      <c r="H44" s="331">
        <f t="shared" si="5"/>
        <v>-338</v>
      </c>
      <c r="I44" s="331">
        <f t="shared" si="5"/>
        <v>-325</v>
      </c>
      <c r="J44" s="331">
        <f t="shared" si="5"/>
        <v>-150</v>
      </c>
      <c r="K44" s="331">
        <f t="shared" si="5"/>
        <v>288</v>
      </c>
      <c r="L44" s="331">
        <f>L29-L36-L43</f>
        <v>591</v>
      </c>
      <c r="M44" s="331">
        <f>M29-M36-M43</f>
        <v>891</v>
      </c>
      <c r="N44" s="331">
        <f>N29-N36-N43</f>
        <v>1096</v>
      </c>
    </row>
    <row r="45" spans="1:14">
      <c r="B45" s="192"/>
      <c r="F45" s="192"/>
      <c r="J45" s="192"/>
      <c r="N45" s="192"/>
    </row>
    <row r="46" spans="1:14">
      <c r="A46" s="60" t="s">
        <v>218</v>
      </c>
      <c r="B46" s="57">
        <f t="shared" ref="B46:K46" si="6">B30+B37</f>
        <v>11179</v>
      </c>
      <c r="C46" s="131">
        <f t="shared" si="6"/>
        <v>11156</v>
      </c>
      <c r="D46" s="131">
        <f t="shared" si="6"/>
        <v>11334</v>
      </c>
      <c r="E46" s="131">
        <f t="shared" si="6"/>
        <v>10519</v>
      </c>
      <c r="F46" s="57">
        <f t="shared" si="6"/>
        <v>9558</v>
      </c>
      <c r="G46" s="131">
        <f t="shared" si="6"/>
        <v>9537</v>
      </c>
      <c r="H46" s="131">
        <f t="shared" si="6"/>
        <v>9472</v>
      </c>
      <c r="I46" s="131">
        <f t="shared" si="6"/>
        <v>9464</v>
      </c>
      <c r="J46" s="57">
        <f t="shared" si="6"/>
        <v>8400</v>
      </c>
      <c r="K46" s="131">
        <f t="shared" si="6"/>
        <v>8396</v>
      </c>
      <c r="L46" s="131">
        <f>L30+L37</f>
        <v>8312</v>
      </c>
      <c r="M46" s="131">
        <f>M30+M37</f>
        <v>8024</v>
      </c>
      <c r="N46" s="57">
        <f>N30+N37</f>
        <v>8062</v>
      </c>
    </row>
    <row r="47" spans="1:14">
      <c r="A47" s="60" t="s">
        <v>217</v>
      </c>
      <c r="B47" s="57">
        <f t="shared" ref="B47:K47" si="7">B13+B14</f>
        <v>2294</v>
      </c>
      <c r="C47" s="131">
        <f t="shared" si="7"/>
        <v>2612</v>
      </c>
      <c r="D47" s="131">
        <f t="shared" si="7"/>
        <v>2915</v>
      </c>
      <c r="E47" s="131">
        <f t="shared" si="7"/>
        <v>2389</v>
      </c>
      <c r="F47" s="57">
        <f t="shared" si="7"/>
        <v>1595</v>
      </c>
      <c r="G47" s="131">
        <f t="shared" si="7"/>
        <v>2041</v>
      </c>
      <c r="H47" s="131">
        <f t="shared" si="7"/>
        <v>1929</v>
      </c>
      <c r="I47" s="131">
        <f t="shared" si="7"/>
        <v>2203</v>
      </c>
      <c r="J47" s="57">
        <f t="shared" si="7"/>
        <v>1564</v>
      </c>
      <c r="K47" s="131">
        <f t="shared" si="7"/>
        <v>1787</v>
      </c>
      <c r="L47" s="131">
        <f>L13+L14</f>
        <v>1646</v>
      </c>
      <c r="M47" s="131">
        <f>M13+M14</f>
        <v>1790</v>
      </c>
      <c r="N47" s="57">
        <f>N13+N14</f>
        <v>1927</v>
      </c>
    </row>
    <row r="48" spans="1:14">
      <c r="A48" s="60" t="s">
        <v>14</v>
      </c>
      <c r="B48" s="57">
        <f>B46-B13-B14</f>
        <v>8885</v>
      </c>
      <c r="C48" s="131">
        <f>C46-C47</f>
        <v>8544</v>
      </c>
      <c r="D48" s="131">
        <f>D46-D47</f>
        <v>8419</v>
      </c>
      <c r="E48" s="131">
        <f>E46-E47</f>
        <v>8130</v>
      </c>
      <c r="F48" s="57">
        <f>F46-F13-F14</f>
        <v>7963</v>
      </c>
      <c r="G48" s="131">
        <f t="shared" ref="G48:N48" si="8">G46-G47</f>
        <v>7496</v>
      </c>
      <c r="H48" s="131">
        <f t="shared" si="8"/>
        <v>7543</v>
      </c>
      <c r="I48" s="131">
        <f t="shared" si="8"/>
        <v>7261</v>
      </c>
      <c r="J48" s="57">
        <f t="shared" si="8"/>
        <v>6836</v>
      </c>
      <c r="K48" s="131">
        <f t="shared" si="8"/>
        <v>6609</v>
      </c>
      <c r="L48" s="131">
        <f t="shared" si="8"/>
        <v>6666</v>
      </c>
      <c r="M48" s="131">
        <f t="shared" si="8"/>
        <v>6234</v>
      </c>
      <c r="N48" s="57">
        <f t="shared" si="8"/>
        <v>6135</v>
      </c>
    </row>
    <row r="49" spans="1:14">
      <c r="A49" s="203" t="s">
        <v>207</v>
      </c>
      <c r="B49" s="204">
        <v>2.5</v>
      </c>
      <c r="C49" s="205"/>
      <c r="D49" s="205"/>
      <c r="E49" s="205"/>
      <c r="F49" s="204">
        <v>2.4</v>
      </c>
      <c r="G49" s="205">
        <v>2.2999999999999998</v>
      </c>
      <c r="H49" s="205">
        <v>2.2999999999999998</v>
      </c>
      <c r="I49" s="205">
        <v>2.2000000000000002</v>
      </c>
      <c r="J49" s="204">
        <f>J48/('Group-Adj #s'!O15-'Group CF'!O21)</f>
        <v>2.091799265605875</v>
      </c>
      <c r="K49" s="205">
        <f>K48/('Group-Adj #s'!P15+'Group-Adj #s'!N15+'Group-Adj #s'!L15+'Group-Adj #s'!K15-'Group CF'!P21-'Group CF'!N21-'Group CF'!L21-'Group CF'!K21)</f>
        <v>2.0088145896656533</v>
      </c>
      <c r="L49" s="205">
        <f>L48/('Group-Adj #s'!Q15+'Group-Adj #s'!P15+'Group-Adj #s'!N15+'Group-Adj #s'!L15-'Group CF'!Q21-'Group CF'!P21-'Group CF'!N21-'Group CF'!L21)</f>
        <v>2.0341776014647546</v>
      </c>
      <c r="M49" s="205">
        <f>M48/('Group-Adj #s'!R15+'Group-Adj #s'!Q15+'Group-Adj #s'!P15+'Group-Adj #s'!N15-'Group CF'!R21-'Group CF'!Q21-'Group CF'!P21-'Group CF'!N21)</f>
        <v>1.8833836858006043</v>
      </c>
      <c r="N49" s="204">
        <f>N48/('Group-Adj #s'!U15-'Group CF'!U21)</f>
        <v>1.8467790487658038</v>
      </c>
    </row>
    <row r="50" spans="1:14" ht="3" customHeigh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V43"/>
  <sheetViews>
    <sheetView showGridLines="0" tabSelected="1" workbookViewId="0">
      <pane xSplit="1" ySplit="8" topLeftCell="B32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49.85546875" customWidth="1"/>
    <col min="4" max="8" width="0" hidden="1" customWidth="1"/>
    <col min="13" max="13" width="0" hidden="1" customWidth="1"/>
    <col min="19" max="19" width="0" hidden="1" customWidth="1"/>
  </cols>
  <sheetData>
    <row r="1" spans="1:22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2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>
      <c r="A3" s="30"/>
      <c r="B3" s="45" t="s">
        <v>5</v>
      </c>
      <c r="C3" s="45" t="s">
        <v>5</v>
      </c>
      <c r="D3" s="45" t="s">
        <v>68</v>
      </c>
      <c r="E3" s="45" t="s">
        <v>0</v>
      </c>
      <c r="F3" s="45" t="s">
        <v>1</v>
      </c>
      <c r="G3" s="45" t="s">
        <v>380</v>
      </c>
      <c r="H3" s="45" t="s">
        <v>2</v>
      </c>
      <c r="I3" s="45" t="s">
        <v>5</v>
      </c>
      <c r="J3" s="45" t="s">
        <v>68</v>
      </c>
      <c r="K3" s="45" t="s">
        <v>0</v>
      </c>
      <c r="L3" s="45" t="s">
        <v>1</v>
      </c>
      <c r="M3" s="45" t="s">
        <v>380</v>
      </c>
      <c r="N3" s="45" t="s">
        <v>2</v>
      </c>
      <c r="O3" s="45" t="s">
        <v>5</v>
      </c>
      <c r="P3" s="45" t="s">
        <v>68</v>
      </c>
      <c r="Q3" s="45" t="s">
        <v>0</v>
      </c>
      <c r="R3" s="45" t="s">
        <v>1</v>
      </c>
      <c r="S3" s="45" t="s">
        <v>380</v>
      </c>
      <c r="T3" s="45" t="s">
        <v>2</v>
      </c>
      <c r="U3" s="45" t="s">
        <v>5</v>
      </c>
    </row>
    <row r="4" spans="1:22">
      <c r="A4" s="237" t="s">
        <v>259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</row>
    <row r="5" spans="1:22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2" ht="20.25">
      <c r="A6" s="33" t="s">
        <v>261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2" s="3" customFormat="1">
      <c r="A8" s="321" t="s">
        <v>282</v>
      </c>
      <c r="B8" s="322"/>
      <c r="C8" s="322"/>
      <c r="D8" s="317"/>
      <c r="E8" s="317"/>
      <c r="F8" s="317"/>
      <c r="G8" s="317"/>
      <c r="H8" s="317"/>
      <c r="I8" s="322"/>
      <c r="J8" s="317"/>
      <c r="K8" s="317"/>
      <c r="L8" s="317"/>
      <c r="M8" s="317"/>
      <c r="N8" s="317"/>
      <c r="O8" s="322"/>
      <c r="P8" s="317"/>
      <c r="Q8" s="317"/>
      <c r="R8" s="317"/>
      <c r="S8" s="316"/>
      <c r="T8" s="317"/>
      <c r="U8" s="322"/>
    </row>
    <row r="9" spans="1:22" s="3" customFormat="1">
      <c r="B9" s="260"/>
      <c r="C9" s="260"/>
      <c r="D9" s="235"/>
      <c r="E9" s="235"/>
      <c r="F9" s="235"/>
      <c r="G9" s="327"/>
      <c r="H9" s="235"/>
      <c r="I9" s="260"/>
      <c r="J9" s="235"/>
      <c r="K9" s="235"/>
      <c r="L9" s="235"/>
      <c r="M9" s="327"/>
      <c r="N9" s="261"/>
      <c r="O9" s="260"/>
      <c r="P9" s="235"/>
      <c r="Q9" s="235"/>
      <c r="S9" s="323"/>
      <c r="T9" s="261"/>
      <c r="U9" s="260"/>
      <c r="V9" s="34"/>
    </row>
    <row r="10" spans="1:22" s="3" customFormat="1">
      <c r="A10" s="60" t="s">
        <v>197</v>
      </c>
      <c r="B10" s="155">
        <v>3813</v>
      </c>
      <c r="C10" s="155">
        <v>1607</v>
      </c>
      <c r="D10" s="166">
        <v>970</v>
      </c>
      <c r="E10" s="166">
        <v>376</v>
      </c>
      <c r="F10" s="166">
        <v>921</v>
      </c>
      <c r="G10" s="320">
        <v>2267</v>
      </c>
      <c r="H10" s="166">
        <v>495</v>
      </c>
      <c r="I10" s="155">
        <v>2762</v>
      </c>
      <c r="J10" s="166">
        <v>910</v>
      </c>
      <c r="K10" s="166">
        <v>970</v>
      </c>
      <c r="L10" s="166">
        <v>653</v>
      </c>
      <c r="M10" s="320">
        <v>2533</v>
      </c>
      <c r="N10" s="166">
        <v>759</v>
      </c>
      <c r="O10" s="155">
        <v>3292</v>
      </c>
      <c r="P10" s="166">
        <v>1062</v>
      </c>
      <c r="Q10" s="166">
        <v>934</v>
      </c>
      <c r="R10" s="166">
        <v>925</v>
      </c>
      <c r="S10" s="320">
        <v>2921</v>
      </c>
      <c r="T10" s="166">
        <v>838</v>
      </c>
      <c r="U10" s="155">
        <v>3759</v>
      </c>
      <c r="V10" s="354"/>
    </row>
    <row r="11" spans="1:22" s="34" customFormat="1" ht="12.95" customHeight="1">
      <c r="A11" s="60" t="s">
        <v>206</v>
      </c>
      <c r="B11" s="155">
        <v>-19</v>
      </c>
      <c r="C11" s="155">
        <v>634</v>
      </c>
      <c r="D11" s="166">
        <v>-25</v>
      </c>
      <c r="E11" s="166">
        <v>-414</v>
      </c>
      <c r="F11" s="166">
        <v>39</v>
      </c>
      <c r="G11" s="320">
        <v>-400</v>
      </c>
      <c r="H11" s="166">
        <v>179</v>
      </c>
      <c r="I11" s="155">
        <v>-221</v>
      </c>
      <c r="J11" s="166">
        <v>-3</v>
      </c>
      <c r="K11" s="166">
        <v>-19</v>
      </c>
      <c r="L11" s="166">
        <v>-7</v>
      </c>
      <c r="M11" s="320">
        <v>-29</v>
      </c>
      <c r="N11" s="166">
        <v>103</v>
      </c>
      <c r="O11" s="155">
        <v>74</v>
      </c>
      <c r="P11" s="166">
        <v>-152</v>
      </c>
      <c r="Q11" s="166">
        <v>2</v>
      </c>
      <c r="R11" s="166">
        <v>7</v>
      </c>
      <c r="S11" s="320">
        <v>-143</v>
      </c>
      <c r="T11" s="166">
        <v>66</v>
      </c>
      <c r="U11" s="155">
        <v>-77</v>
      </c>
      <c r="V11" s="354"/>
    </row>
    <row r="12" spans="1:22" s="34" customFormat="1" ht="12.95" customHeight="1">
      <c r="A12" s="60" t="s">
        <v>374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315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315">
        <v>0</v>
      </c>
      <c r="N12" s="66">
        <v>0</v>
      </c>
      <c r="O12" s="55">
        <v>0</v>
      </c>
      <c r="P12" s="235">
        <v>8</v>
      </c>
      <c r="Q12" s="166">
        <v>8</v>
      </c>
      <c r="R12" s="166">
        <v>6</v>
      </c>
      <c r="S12" s="315">
        <v>22</v>
      </c>
      <c r="T12" s="66">
        <v>5</v>
      </c>
      <c r="U12" s="55">
        <v>27</v>
      </c>
      <c r="V12" s="354"/>
    </row>
    <row r="13" spans="1:22" s="34" customFormat="1" ht="12.95" customHeight="1">
      <c r="A13" s="60" t="s">
        <v>190</v>
      </c>
      <c r="B13" s="228">
        <v>87</v>
      </c>
      <c r="C13" s="228">
        <v>1675</v>
      </c>
      <c r="D13" s="265">
        <v>0</v>
      </c>
      <c r="E13" s="264">
        <v>951</v>
      </c>
      <c r="F13" s="265">
        <v>0</v>
      </c>
      <c r="G13" s="325">
        <v>951</v>
      </c>
      <c r="H13" s="264">
        <v>196</v>
      </c>
      <c r="I13" s="228">
        <v>1147</v>
      </c>
      <c r="J13" s="265">
        <v>0</v>
      </c>
      <c r="K13" s="265">
        <v>0</v>
      </c>
      <c r="L13" s="264">
        <v>268</v>
      </c>
      <c r="M13" s="325">
        <v>268</v>
      </c>
      <c r="N13" s="265">
        <v>25</v>
      </c>
      <c r="O13" s="228">
        <v>293</v>
      </c>
      <c r="P13" s="265">
        <v>0</v>
      </c>
      <c r="Q13" s="265">
        <v>0</v>
      </c>
      <c r="R13" s="265">
        <v>0</v>
      </c>
      <c r="S13" s="324">
        <v>0</v>
      </c>
      <c r="T13" s="265">
        <v>0</v>
      </c>
      <c r="U13" s="353">
        <v>0</v>
      </c>
    </row>
    <row r="14" spans="1:22" s="34" customFormat="1" ht="12.95" customHeight="1">
      <c r="A14" s="60"/>
      <c r="B14" s="260"/>
      <c r="C14" s="260"/>
      <c r="D14" s="66"/>
      <c r="E14" s="235"/>
      <c r="F14" s="66"/>
      <c r="G14" s="315"/>
      <c r="H14" s="235"/>
      <c r="I14" s="260"/>
      <c r="J14" s="66"/>
      <c r="K14" s="66"/>
      <c r="L14" s="235"/>
      <c r="M14" s="315"/>
      <c r="N14" s="66"/>
      <c r="O14" s="260"/>
      <c r="P14" s="66"/>
      <c r="Q14" s="66"/>
      <c r="R14" s="235"/>
      <c r="S14" s="315"/>
      <c r="T14" s="66"/>
      <c r="U14" s="260"/>
    </row>
    <row r="15" spans="1:22" s="34" customFormat="1" ht="18" customHeight="1">
      <c r="A15" s="79" t="s">
        <v>290</v>
      </c>
      <c r="B15" s="228">
        <v>3881</v>
      </c>
      <c r="C15" s="228">
        <v>3916</v>
      </c>
      <c r="D15" s="264">
        <v>945</v>
      </c>
      <c r="E15" s="264">
        <v>913</v>
      </c>
      <c r="F15" s="264">
        <v>960</v>
      </c>
      <c r="G15" s="325">
        <v>2818</v>
      </c>
      <c r="H15" s="264">
        <v>870</v>
      </c>
      <c r="I15" s="228">
        <v>3688</v>
      </c>
      <c r="J15" s="264">
        <v>907</v>
      </c>
      <c r="K15" s="264">
        <v>951</v>
      </c>
      <c r="L15" s="264">
        <v>914</v>
      </c>
      <c r="M15" s="325">
        <v>2772</v>
      </c>
      <c r="N15" s="264">
        <v>887</v>
      </c>
      <c r="O15" s="228">
        <v>3659</v>
      </c>
      <c r="P15" s="264">
        <v>918</v>
      </c>
      <c r="Q15" s="264">
        <v>944</v>
      </c>
      <c r="R15" s="264">
        <v>938</v>
      </c>
      <c r="S15" s="325">
        <v>2800</v>
      </c>
      <c r="T15" s="264">
        <v>909</v>
      </c>
      <c r="U15" s="228">
        <v>3709</v>
      </c>
      <c r="V15" s="354"/>
    </row>
    <row r="16" spans="1:22" s="34" customFormat="1" ht="13.5" customHeight="1">
      <c r="A16" s="62" t="s">
        <v>7</v>
      </c>
      <c r="B16" s="266"/>
      <c r="C16" s="266"/>
      <c r="D16" s="63">
        <v>-0.75650605514042768</v>
      </c>
      <c r="E16" s="63">
        <v>-3.3862433862433816E-2</v>
      </c>
      <c r="F16" s="63">
        <v>5.1478641840087658E-2</v>
      </c>
      <c r="G16" s="310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310"/>
      <c r="N16" s="63">
        <v>-2.9540481400437635E-2</v>
      </c>
      <c r="O16" s="23"/>
      <c r="P16" s="63">
        <v>3.4949267192784683E-2</v>
      </c>
      <c r="Q16" s="63">
        <v>2.8322440087146017E-2</v>
      </c>
      <c r="R16" s="63">
        <v>-6.3559322033898136E-3</v>
      </c>
      <c r="S16" s="310"/>
      <c r="T16" s="63">
        <v>-3.0916844349680117E-2</v>
      </c>
      <c r="U16" s="23"/>
    </row>
    <row r="17" spans="1:22" s="34" customFormat="1" ht="14.25" customHeight="1">
      <c r="A17" s="62" t="s">
        <v>8</v>
      </c>
      <c r="B17" s="260"/>
      <c r="C17" s="23">
        <v>9.0182942540582012E-3</v>
      </c>
      <c r="D17" s="64"/>
      <c r="E17" s="64"/>
      <c r="F17" s="64"/>
      <c r="G17" s="311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311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64">
        <v>2.6258205689277947E-2</v>
      </c>
      <c r="S17" s="311">
        <v>1.0101010101010166E-2</v>
      </c>
      <c r="T17" s="64">
        <v>2.4802705749718212E-2</v>
      </c>
      <c r="U17" s="23">
        <v>1.3664935774801767E-2</v>
      </c>
    </row>
    <row r="18" spans="1:22" s="34" customFormat="1" ht="18" customHeight="1">
      <c r="A18" s="79" t="s">
        <v>334</v>
      </c>
      <c r="B18" s="271">
        <v>0.39646542036980281</v>
      </c>
      <c r="C18" s="271">
        <v>0.42012659585881346</v>
      </c>
      <c r="D18" s="272">
        <v>0.41888297872340424</v>
      </c>
      <c r="E18" s="272">
        <v>0.41052158273381295</v>
      </c>
      <c r="F18" s="272">
        <v>0.42723631508678239</v>
      </c>
      <c r="G18" s="326">
        <v>0.41890887468410881</v>
      </c>
      <c r="H18" s="272">
        <v>0.39509536784741145</v>
      </c>
      <c r="I18" s="271">
        <v>0.41303617426363537</v>
      </c>
      <c r="J18" s="272">
        <v>0.4147233653406493</v>
      </c>
      <c r="K18" s="272">
        <v>0.44129930394431555</v>
      </c>
      <c r="L18" s="272">
        <v>0.41965105601469238</v>
      </c>
      <c r="M18" s="326">
        <v>0.42515337423312882</v>
      </c>
      <c r="N18" s="272">
        <v>0.40263277349069448</v>
      </c>
      <c r="O18" s="271">
        <v>0.41946578012151781</v>
      </c>
      <c r="P18" s="272">
        <v>0.41332733003151734</v>
      </c>
      <c r="Q18" s="272">
        <v>0.42909090909090908</v>
      </c>
      <c r="R18" s="272">
        <v>0.43790849673202614</v>
      </c>
      <c r="S18" s="326">
        <v>0.42663416120676517</v>
      </c>
      <c r="T18" s="272">
        <v>0.40256864481842336</v>
      </c>
      <c r="U18" s="271">
        <v>0.42047386917583041</v>
      </c>
    </row>
    <row r="19" spans="1:22" s="34" customFormat="1" ht="12.95" customHeight="1">
      <c r="A19" s="60"/>
      <c r="B19" s="260"/>
      <c r="C19" s="260"/>
      <c r="D19" s="235"/>
      <c r="E19" s="235"/>
      <c r="F19" s="235"/>
      <c r="G19" s="327"/>
      <c r="H19" s="235"/>
      <c r="I19" s="260"/>
      <c r="J19" s="235"/>
      <c r="K19" s="235"/>
      <c r="L19" s="235"/>
      <c r="M19" s="327"/>
      <c r="N19" s="261"/>
      <c r="O19" s="260"/>
      <c r="P19" s="235"/>
      <c r="Q19" s="235"/>
      <c r="R19" s="235"/>
      <c r="S19" s="327"/>
      <c r="T19" s="261"/>
      <c r="U19" s="260"/>
    </row>
    <row r="20" spans="1:22" s="3" customFormat="1">
      <c r="A20" s="329" t="s">
        <v>283</v>
      </c>
      <c r="B20" s="322"/>
      <c r="C20" s="322"/>
      <c r="D20" s="317"/>
      <c r="E20" s="317"/>
      <c r="F20" s="317"/>
      <c r="G20" s="317"/>
      <c r="H20" s="317"/>
      <c r="I20" s="322"/>
      <c r="J20" s="317"/>
      <c r="K20" s="317"/>
      <c r="L20" s="317"/>
      <c r="M20" s="317"/>
      <c r="N20" s="317"/>
      <c r="O20" s="322"/>
      <c r="P20" s="317"/>
      <c r="Q20" s="317"/>
      <c r="R20" s="317"/>
      <c r="S20" s="317"/>
      <c r="T20" s="317"/>
      <c r="U20" s="322"/>
    </row>
    <row r="21" spans="1:22" s="3" customFormat="1">
      <c r="B21" s="260"/>
      <c r="C21" s="260"/>
      <c r="D21" s="235"/>
      <c r="E21" s="235"/>
      <c r="F21" s="235"/>
      <c r="G21" s="327"/>
      <c r="H21" s="235"/>
      <c r="I21" s="260"/>
      <c r="J21" s="235"/>
      <c r="K21" s="235"/>
      <c r="L21" s="235"/>
      <c r="M21" s="327"/>
      <c r="N21" s="261"/>
      <c r="O21" s="260"/>
      <c r="P21" s="235"/>
      <c r="Q21" s="235"/>
      <c r="R21" s="235"/>
      <c r="S21" s="327"/>
      <c r="T21" s="261"/>
      <c r="U21" s="260"/>
    </row>
    <row r="22" spans="1:22" s="34" customFormat="1" ht="12.95" customHeight="1">
      <c r="A22" s="60" t="s">
        <v>250</v>
      </c>
      <c r="B22" s="155">
        <v>1223</v>
      </c>
      <c r="C22" s="155">
        <v>-1092</v>
      </c>
      <c r="D22" s="166">
        <v>295</v>
      </c>
      <c r="E22" s="166">
        <v>-1579</v>
      </c>
      <c r="F22" s="166">
        <v>177</v>
      </c>
      <c r="G22" s="320">
        <v>-1107</v>
      </c>
      <c r="H22" s="166">
        <v>-87</v>
      </c>
      <c r="I22" s="155">
        <v>-1194</v>
      </c>
      <c r="J22" s="166">
        <v>327</v>
      </c>
      <c r="K22" s="166">
        <v>269</v>
      </c>
      <c r="L22" s="166">
        <v>26</v>
      </c>
      <c r="M22" s="320">
        <v>622</v>
      </c>
      <c r="N22" s="166">
        <v>174</v>
      </c>
      <c r="O22" s="55">
        <v>796</v>
      </c>
      <c r="P22" s="166">
        <v>408</v>
      </c>
      <c r="Q22" s="166">
        <v>294</v>
      </c>
      <c r="R22" s="166">
        <v>284</v>
      </c>
      <c r="S22" s="320">
        <v>986</v>
      </c>
      <c r="T22" s="166">
        <v>197</v>
      </c>
      <c r="U22" s="55">
        <v>1183</v>
      </c>
      <c r="V22" s="354"/>
    </row>
    <row r="23" spans="1:22" s="34" customFormat="1" ht="12.95" customHeight="1">
      <c r="A23" s="60" t="s">
        <v>310</v>
      </c>
      <c r="B23" s="155">
        <v>-14.44</v>
      </c>
      <c r="C23" s="155">
        <v>492.09000000000003</v>
      </c>
      <c r="D23" s="166">
        <v>-9.36</v>
      </c>
      <c r="E23" s="166">
        <v>-320.85000000000002</v>
      </c>
      <c r="F23" s="166">
        <v>30.26</v>
      </c>
      <c r="G23" s="320">
        <v>-299.95000000000005</v>
      </c>
      <c r="H23" s="166">
        <v>139.44000000000005</v>
      </c>
      <c r="I23" s="155">
        <v>-160.51</v>
      </c>
      <c r="J23" s="61">
        <v>0</v>
      </c>
      <c r="K23" s="61">
        <v>0</v>
      </c>
      <c r="L23" s="61">
        <v>0</v>
      </c>
      <c r="M23" s="315">
        <v>0</v>
      </c>
      <c r="N23" s="61">
        <v>0</v>
      </c>
      <c r="O23" s="55">
        <v>0</v>
      </c>
      <c r="P23" s="61">
        <v>0</v>
      </c>
      <c r="Q23" s="61">
        <v>0</v>
      </c>
      <c r="R23" s="61">
        <v>0</v>
      </c>
      <c r="S23" s="309">
        <v>0</v>
      </c>
      <c r="T23" s="61">
        <v>0</v>
      </c>
      <c r="U23" s="55">
        <v>0</v>
      </c>
      <c r="V23" s="354"/>
    </row>
    <row r="24" spans="1:22" s="34" customFormat="1" ht="12.95" customHeight="1">
      <c r="A24" s="60" t="s">
        <v>305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315">
        <v>0</v>
      </c>
      <c r="H24" s="61">
        <v>0</v>
      </c>
      <c r="I24" s="55">
        <v>0</v>
      </c>
      <c r="J24" s="166">
        <v>-3</v>
      </c>
      <c r="K24" s="166">
        <v>-2</v>
      </c>
      <c r="L24" s="166">
        <v>-3.85</v>
      </c>
      <c r="M24" s="320">
        <v>-8.85</v>
      </c>
      <c r="N24" s="166">
        <v>61.21</v>
      </c>
      <c r="O24" s="55">
        <v>52.36</v>
      </c>
      <c r="P24" s="166">
        <v>-115</v>
      </c>
      <c r="Q24" s="166">
        <v>5</v>
      </c>
      <c r="R24" s="166">
        <v>6.16</v>
      </c>
      <c r="S24" s="320">
        <v>-103.84</v>
      </c>
      <c r="T24" s="166">
        <v>22.989999999999995</v>
      </c>
      <c r="U24" s="155">
        <v>-80.850000000000009</v>
      </c>
      <c r="V24" s="354"/>
    </row>
    <row r="25" spans="1:22" s="34" customFormat="1" ht="12.95" customHeight="1">
      <c r="A25" s="60" t="s">
        <v>306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315">
        <v>0</v>
      </c>
      <c r="H25" s="61">
        <v>0</v>
      </c>
      <c r="I25" s="55">
        <v>0</v>
      </c>
      <c r="J25" s="166">
        <v>1</v>
      </c>
      <c r="K25" s="166">
        <v>-3</v>
      </c>
      <c r="L25" s="61">
        <v>0</v>
      </c>
      <c r="M25" s="320">
        <v>-2</v>
      </c>
      <c r="N25" s="166">
        <v>15.86</v>
      </c>
      <c r="O25" s="55">
        <v>13.86</v>
      </c>
      <c r="P25" s="61">
        <v>0</v>
      </c>
      <c r="Q25" s="166">
        <v>-2</v>
      </c>
      <c r="R25" s="61">
        <v>0</v>
      </c>
      <c r="S25" s="320">
        <v>-2</v>
      </c>
      <c r="T25" s="166">
        <v>8.93</v>
      </c>
      <c r="U25" s="155">
        <v>6.93</v>
      </c>
      <c r="V25" s="354"/>
    </row>
    <row r="26" spans="1:22" s="34" customFormat="1" ht="12.95" customHeight="1">
      <c r="A26" s="60" t="s">
        <v>307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315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315">
        <v>0</v>
      </c>
      <c r="N26" s="166">
        <v>6</v>
      </c>
      <c r="O26" s="55">
        <v>6</v>
      </c>
      <c r="P26" s="61">
        <v>0</v>
      </c>
      <c r="Q26" s="166">
        <v>-1</v>
      </c>
      <c r="R26" s="166">
        <v>-2</v>
      </c>
      <c r="S26" s="320">
        <v>-3</v>
      </c>
      <c r="T26" s="166">
        <v>9</v>
      </c>
      <c r="U26" s="155">
        <v>6</v>
      </c>
      <c r="V26" s="354"/>
    </row>
    <row r="27" spans="1:22" s="34" customFormat="1" ht="12.95" customHeight="1">
      <c r="A27" s="60" t="s">
        <v>308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315">
        <v>0</v>
      </c>
      <c r="H27" s="61">
        <v>0</v>
      </c>
      <c r="I27" s="55">
        <v>0</v>
      </c>
      <c r="J27" s="61">
        <v>0</v>
      </c>
      <c r="K27" s="166">
        <v>-12</v>
      </c>
      <c r="L27" s="61">
        <v>0</v>
      </c>
      <c r="M27" s="320">
        <v>-12</v>
      </c>
      <c r="N27" s="166">
        <v>-3</v>
      </c>
      <c r="O27" s="155">
        <v>-15</v>
      </c>
      <c r="P27" s="166">
        <v>-2</v>
      </c>
      <c r="Q27" s="61">
        <v>0</v>
      </c>
      <c r="R27" s="61">
        <v>1</v>
      </c>
      <c r="S27" s="320">
        <v>-1</v>
      </c>
      <c r="T27" s="166">
        <v>13</v>
      </c>
      <c r="U27" s="155">
        <v>12</v>
      </c>
      <c r="V27" s="354"/>
    </row>
    <row r="28" spans="1:22" s="34" customFormat="1" ht="12.95" customHeight="1">
      <c r="A28" s="60" t="s">
        <v>309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315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315">
        <v>0</v>
      </c>
      <c r="N28" s="166">
        <v>-2</v>
      </c>
      <c r="O28" s="155">
        <v>-2</v>
      </c>
      <c r="P28" s="61">
        <v>0</v>
      </c>
      <c r="Q28" s="61">
        <v>0</v>
      </c>
      <c r="R28" s="61">
        <v>0</v>
      </c>
      <c r="S28" s="309">
        <v>0</v>
      </c>
      <c r="T28" s="61">
        <v>0</v>
      </c>
      <c r="U28" s="55">
        <v>0</v>
      </c>
      <c r="V28" s="354"/>
    </row>
    <row r="29" spans="1:22" s="34" customFormat="1" ht="12.95" customHeight="1">
      <c r="A29" s="60"/>
      <c r="B29" s="55"/>
      <c r="C29" s="55"/>
      <c r="D29" s="61"/>
      <c r="E29" s="61"/>
      <c r="F29" s="66"/>
      <c r="G29" s="315"/>
      <c r="H29" s="61"/>
      <c r="I29" s="55"/>
      <c r="J29" s="61"/>
      <c r="K29" s="61"/>
      <c r="L29" s="61"/>
      <c r="M29" s="315">
        <v>0</v>
      </c>
      <c r="N29" s="166"/>
      <c r="O29" s="155"/>
      <c r="P29" s="61"/>
      <c r="Q29" s="61"/>
      <c r="R29" s="61"/>
      <c r="S29" s="309">
        <v>0</v>
      </c>
      <c r="T29" s="166"/>
      <c r="U29" s="155"/>
      <c r="V29" s="354"/>
    </row>
    <row r="30" spans="1:22" s="34" customFormat="1" ht="12.95" customHeight="1">
      <c r="A30" s="60" t="s">
        <v>374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315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315">
        <v>0</v>
      </c>
      <c r="N30" s="61">
        <v>0</v>
      </c>
      <c r="O30" s="55">
        <v>0</v>
      </c>
      <c r="P30" s="61">
        <v>8</v>
      </c>
      <c r="Q30" s="61">
        <v>8</v>
      </c>
      <c r="R30" s="61">
        <v>6</v>
      </c>
      <c r="S30" s="320">
        <v>22</v>
      </c>
      <c r="T30" s="61">
        <v>5</v>
      </c>
      <c r="U30" s="55">
        <v>27</v>
      </c>
      <c r="V30" s="354"/>
    </row>
    <row r="31" spans="1:22" s="34" customFormat="1" ht="12.95" customHeight="1">
      <c r="A31" s="60"/>
      <c r="B31" s="55"/>
      <c r="C31" s="55"/>
      <c r="D31" s="61"/>
      <c r="E31" s="61"/>
      <c r="F31" s="66"/>
      <c r="G31" s="315"/>
      <c r="H31" s="61"/>
      <c r="I31" s="55"/>
      <c r="J31" s="61"/>
      <c r="K31" s="61"/>
      <c r="L31" s="61"/>
      <c r="M31" s="315">
        <v>0</v>
      </c>
      <c r="N31" s="61"/>
      <c r="O31" s="55"/>
      <c r="P31" s="61"/>
      <c r="Q31" s="61"/>
      <c r="R31" s="61"/>
      <c r="S31" s="309">
        <v>0</v>
      </c>
      <c r="T31" s="61"/>
      <c r="U31" s="55"/>
      <c r="V31" s="354"/>
    </row>
    <row r="32" spans="1:22" s="34" customFormat="1" ht="12.95" customHeight="1">
      <c r="A32" s="34" t="s">
        <v>252</v>
      </c>
      <c r="B32" s="155">
        <v>87</v>
      </c>
      <c r="C32" s="155">
        <v>1561</v>
      </c>
      <c r="D32" s="61">
        <v>0</v>
      </c>
      <c r="E32" s="61">
        <v>0</v>
      </c>
      <c r="F32" s="66">
        <v>0</v>
      </c>
      <c r="G32" s="315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315">
        <v>0</v>
      </c>
      <c r="N32" s="61">
        <v>0</v>
      </c>
      <c r="O32" s="55">
        <v>0</v>
      </c>
      <c r="P32" s="61">
        <v>0</v>
      </c>
      <c r="Q32" s="61">
        <v>0</v>
      </c>
      <c r="R32" s="61">
        <v>0</v>
      </c>
      <c r="S32" s="309">
        <v>0</v>
      </c>
      <c r="T32" s="61">
        <v>0</v>
      </c>
      <c r="U32" s="55">
        <v>0</v>
      </c>
      <c r="V32" s="354"/>
    </row>
    <row r="33" spans="1:22" s="34" customFormat="1" ht="12.95" customHeight="1">
      <c r="A33" s="60" t="s">
        <v>248</v>
      </c>
      <c r="B33" s="55">
        <v>0</v>
      </c>
      <c r="C33" s="55">
        <v>0</v>
      </c>
      <c r="D33" s="61">
        <v>0</v>
      </c>
      <c r="E33" s="166">
        <v>951</v>
      </c>
      <c r="F33" s="66">
        <v>0</v>
      </c>
      <c r="G33" s="320">
        <v>951</v>
      </c>
      <c r="H33" s="61">
        <v>0</v>
      </c>
      <c r="I33" s="155">
        <v>951</v>
      </c>
      <c r="J33" s="61">
        <v>0</v>
      </c>
      <c r="K33" s="61">
        <v>0</v>
      </c>
      <c r="L33" s="61">
        <v>0</v>
      </c>
      <c r="M33" s="315">
        <v>0</v>
      </c>
      <c r="N33" s="61">
        <v>0</v>
      </c>
      <c r="O33" s="55">
        <v>0</v>
      </c>
      <c r="P33" s="61">
        <v>0</v>
      </c>
      <c r="Q33" s="61">
        <v>0</v>
      </c>
      <c r="R33" s="61">
        <v>0</v>
      </c>
      <c r="S33" s="309">
        <v>0</v>
      </c>
      <c r="T33" s="61">
        <v>0</v>
      </c>
      <c r="U33" s="55">
        <v>0</v>
      </c>
      <c r="V33" s="354"/>
    </row>
    <row r="34" spans="1:22" s="34" customFormat="1" ht="12" customHeight="1">
      <c r="A34" s="79" t="s">
        <v>251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315">
        <v>0</v>
      </c>
      <c r="H34" s="66">
        <v>150.92000000000002</v>
      </c>
      <c r="I34" s="155">
        <v>150.92000000000002</v>
      </c>
      <c r="J34" s="61">
        <v>0</v>
      </c>
      <c r="K34" s="61">
        <v>0</v>
      </c>
      <c r="L34" s="166">
        <v>282</v>
      </c>
      <c r="M34" s="320">
        <v>282</v>
      </c>
      <c r="N34" s="61">
        <v>25</v>
      </c>
      <c r="O34" s="55">
        <v>307</v>
      </c>
      <c r="P34" s="61">
        <v>0</v>
      </c>
      <c r="Q34" s="61">
        <v>0</v>
      </c>
      <c r="R34" s="61">
        <v>0</v>
      </c>
      <c r="S34" s="309">
        <v>0</v>
      </c>
      <c r="T34" s="61">
        <v>0</v>
      </c>
      <c r="U34" s="55"/>
      <c r="V34" s="354"/>
    </row>
    <row r="35" spans="1:22" s="34" customFormat="1" ht="12" customHeight="1">
      <c r="A35" s="79" t="s">
        <v>279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309">
        <v>0</v>
      </c>
      <c r="H35" s="61">
        <v>0</v>
      </c>
      <c r="I35" s="55">
        <v>0</v>
      </c>
      <c r="J35" s="61">
        <v>0</v>
      </c>
      <c r="K35" s="61">
        <v>0</v>
      </c>
      <c r="L35" s="166">
        <v>-14</v>
      </c>
      <c r="M35" s="320">
        <v>-14</v>
      </c>
      <c r="N35" s="61">
        <v>0</v>
      </c>
      <c r="O35" s="155">
        <v>-14</v>
      </c>
      <c r="P35" s="61">
        <v>0</v>
      </c>
      <c r="Q35" s="61">
        <v>0</v>
      </c>
      <c r="R35" s="61">
        <v>0</v>
      </c>
      <c r="S35" s="309">
        <v>0</v>
      </c>
      <c r="T35" s="61">
        <v>0</v>
      </c>
      <c r="U35" s="155"/>
      <c r="V35" s="354"/>
    </row>
    <row r="36" spans="1:22" s="34" customFormat="1" ht="12.95" customHeight="1">
      <c r="A36" s="60" t="s">
        <v>242</v>
      </c>
      <c r="B36" s="55">
        <v>0</v>
      </c>
      <c r="C36" s="55">
        <v>0</v>
      </c>
      <c r="D36" s="61">
        <v>0</v>
      </c>
      <c r="E36" s="166">
        <v>1166</v>
      </c>
      <c r="F36" s="66">
        <v>0</v>
      </c>
      <c r="G36" s="325">
        <v>1166</v>
      </c>
      <c r="H36" s="66">
        <v>0</v>
      </c>
      <c r="I36" s="155">
        <v>1166</v>
      </c>
      <c r="J36" s="61">
        <v>0</v>
      </c>
      <c r="K36" s="61">
        <v>0</v>
      </c>
      <c r="L36" s="61">
        <v>0</v>
      </c>
      <c r="M36" s="315"/>
      <c r="N36" s="61">
        <v>0</v>
      </c>
      <c r="O36" s="55">
        <v>0</v>
      </c>
      <c r="P36" s="61">
        <v>0</v>
      </c>
      <c r="Q36" s="61">
        <v>0</v>
      </c>
      <c r="R36" s="61">
        <v>0</v>
      </c>
      <c r="S36" s="309">
        <v>0</v>
      </c>
      <c r="T36" s="61">
        <v>0</v>
      </c>
      <c r="U36" s="55">
        <v>0</v>
      </c>
      <c r="V36" s="354"/>
    </row>
    <row r="37" spans="1:22" s="34" customFormat="1" ht="29.25" customHeight="1">
      <c r="A37" s="200" t="s">
        <v>291</v>
      </c>
      <c r="B37" s="229">
        <v>1295.56</v>
      </c>
      <c r="C37" s="229">
        <v>961.09</v>
      </c>
      <c r="D37" s="167">
        <v>285.64</v>
      </c>
      <c r="E37" s="167">
        <v>217.15000000000009</v>
      </c>
      <c r="F37" s="167">
        <v>207.26</v>
      </c>
      <c r="G37" s="157">
        <v>710.05000000000007</v>
      </c>
      <c r="H37" s="167">
        <v>203.36000000000007</v>
      </c>
      <c r="I37" s="229">
        <v>913.41000000000008</v>
      </c>
      <c r="J37" s="167">
        <v>325</v>
      </c>
      <c r="K37" s="167">
        <v>252</v>
      </c>
      <c r="L37" s="167">
        <v>290.14999999999998</v>
      </c>
      <c r="M37" s="157">
        <v>867.15</v>
      </c>
      <c r="N37" s="167">
        <v>277.07</v>
      </c>
      <c r="O37" s="229">
        <v>1144.22</v>
      </c>
      <c r="P37" s="167">
        <v>299</v>
      </c>
      <c r="Q37" s="167">
        <v>304</v>
      </c>
      <c r="R37" s="167">
        <v>295.16000000000003</v>
      </c>
      <c r="S37" s="157">
        <v>898.16000000000008</v>
      </c>
      <c r="T37" s="167">
        <v>255.92000000000002</v>
      </c>
      <c r="U37" s="229">
        <v>1154.0800000000002</v>
      </c>
      <c r="V37" s="354"/>
    </row>
    <row r="38" spans="1:22" s="34" customFormat="1" ht="13.5" customHeight="1">
      <c r="A38" s="62" t="s">
        <v>7</v>
      </c>
      <c r="B38" s="266"/>
      <c r="C38" s="266"/>
      <c r="D38" s="63">
        <v>-0.77952391243940844</v>
      </c>
      <c r="E38" s="63">
        <v>-0.23977734210894797</v>
      </c>
      <c r="F38" s="63">
        <v>-4.5544554455446029E-2</v>
      </c>
      <c r="G38" s="310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310"/>
      <c r="N38" s="63">
        <v>-4.5080130966741239E-2</v>
      </c>
      <c r="O38" s="23"/>
      <c r="P38" s="63">
        <v>7.9149673367741036E-2</v>
      </c>
      <c r="Q38" s="63">
        <v>1.6722408026755842E-2</v>
      </c>
      <c r="R38" s="63">
        <v>-2.9078947368420982E-2</v>
      </c>
      <c r="S38" s="310"/>
      <c r="T38" s="63">
        <v>-0.13294484347472557</v>
      </c>
      <c r="U38" s="23"/>
    </row>
    <row r="39" spans="1:22" s="34" customFormat="1" ht="13.5" customHeight="1">
      <c r="A39" s="62" t="s">
        <v>8</v>
      </c>
      <c r="B39" s="260"/>
      <c r="C39" s="23">
        <v>-0.25816635277408995</v>
      </c>
      <c r="D39" s="64"/>
      <c r="E39" s="64"/>
      <c r="F39" s="64"/>
      <c r="G39" s="311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311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64">
        <v>1.7266930897811728E-2</v>
      </c>
      <c r="S39" s="311">
        <v>3.5760825693363474E-2</v>
      </c>
      <c r="T39" s="64">
        <v>-7.6334500306781572E-2</v>
      </c>
      <c r="U39" s="23">
        <v>8.6172239604274115E-3</v>
      </c>
    </row>
    <row r="40" spans="1:22" s="3" customFormat="1" ht="3" customHeight="1">
      <c r="A40" s="42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</row>
    <row r="42" spans="1:22">
      <c r="M42" s="306"/>
    </row>
    <row r="43" spans="1:22">
      <c r="M43" s="306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1"/>
  <sheetViews>
    <sheetView showGridLines="0" tabSelected="1" topLeftCell="A4" zoomScale="110" zoomScaleNormal="110" workbookViewId="0">
      <pane xSplit="2" ySplit="3" topLeftCell="AG7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ColWidth="8.7109375" defaultRowHeight="12.75"/>
  <cols>
    <col min="1" max="1" width="47" customWidth="1"/>
    <col min="2" max="27" width="0" hidden="1" customWidth="1"/>
    <col min="28" max="28" width="9.28515625" bestFit="1" customWidth="1"/>
    <col min="29" max="32" width="8.7109375" hidden="1" customWidth="1"/>
    <col min="33" max="33" width="8.85546875" bestFit="1" customWidth="1"/>
    <col min="38" max="38" width="8.85546875" bestFit="1" customWidth="1"/>
  </cols>
  <sheetData>
    <row r="4" spans="1:57">
      <c r="A4" s="92"/>
      <c r="B4" s="92"/>
      <c r="C4" s="92"/>
      <c r="D4" s="92"/>
      <c r="E4" s="92"/>
      <c r="F4" s="92"/>
      <c r="G4" s="92"/>
      <c r="H4" s="92"/>
      <c r="I4" s="92"/>
      <c r="AD4" s="202"/>
      <c r="BD4">
        <v>2018</v>
      </c>
      <c r="BE4">
        <v>2018</v>
      </c>
    </row>
    <row r="5" spans="1:57">
      <c r="A5" s="92"/>
      <c r="B5" s="45" t="s">
        <v>2</v>
      </c>
      <c r="C5" s="45" t="s">
        <v>5</v>
      </c>
      <c r="D5" s="45" t="s">
        <v>68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68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68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68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68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68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68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68</v>
      </c>
      <c r="AN5" s="45" t="s">
        <v>0</v>
      </c>
      <c r="AO5" s="45" t="s">
        <v>1</v>
      </c>
      <c r="AP5" s="45" t="s">
        <v>2</v>
      </c>
      <c r="AQ5" s="45" t="s">
        <v>5</v>
      </c>
    </row>
    <row r="6" spans="1:57">
      <c r="A6" s="50" t="s">
        <v>138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spans="1:57" ht="20.25">
      <c r="A8" s="33" t="s">
        <v>139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</row>
    <row r="10" spans="1:57">
      <c r="A10" s="328" t="s">
        <v>140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16"/>
      <c r="AO10" s="316"/>
      <c r="AP10" s="316"/>
      <c r="AQ10" s="316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</row>
    <row r="12" spans="1:57" ht="13.15" customHeight="1">
      <c r="A12" s="158" t="s">
        <v>296</v>
      </c>
      <c r="B12" s="135" t="s">
        <v>114</v>
      </c>
      <c r="C12" s="137" t="s">
        <v>114</v>
      </c>
      <c r="D12" s="135" t="s">
        <v>114</v>
      </c>
      <c r="E12" s="135" t="s">
        <v>114</v>
      </c>
      <c r="F12" s="135" t="s">
        <v>114</v>
      </c>
      <c r="G12" s="135" t="s">
        <v>114</v>
      </c>
      <c r="H12" s="55" t="s">
        <v>114</v>
      </c>
      <c r="I12" s="135">
        <v>-12</v>
      </c>
      <c r="J12" s="135" t="s">
        <v>114</v>
      </c>
      <c r="K12" s="135" t="s">
        <v>114</v>
      </c>
      <c r="L12" s="135" t="s">
        <v>114</v>
      </c>
      <c r="M12" s="159">
        <v>-12</v>
      </c>
      <c r="N12" s="165" t="s">
        <v>114</v>
      </c>
      <c r="O12" s="165" t="s">
        <v>114</v>
      </c>
      <c r="P12" s="165" t="s">
        <v>114</v>
      </c>
      <c r="Q12" s="135" t="s">
        <v>114</v>
      </c>
      <c r="R12" s="55" t="s">
        <v>114</v>
      </c>
      <c r="S12" s="165" t="s">
        <v>114</v>
      </c>
      <c r="T12" s="165" t="s">
        <v>114</v>
      </c>
      <c r="U12" s="165" t="s">
        <v>114</v>
      </c>
      <c r="V12" s="135" t="s">
        <v>114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</row>
    <row r="13" spans="1:57" ht="13.15" customHeight="1">
      <c r="C13" s="137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</row>
    <row r="14" spans="1:57" ht="13.15" customHeight="1">
      <c r="A14" s="2" t="s">
        <v>141</v>
      </c>
      <c r="B14" s="135" t="s">
        <v>114</v>
      </c>
      <c r="C14" s="137" t="s">
        <v>114</v>
      </c>
      <c r="D14" s="135" t="s">
        <v>114</v>
      </c>
      <c r="E14" s="136">
        <v>-582</v>
      </c>
      <c r="F14" s="135" t="s">
        <v>114</v>
      </c>
      <c r="G14" s="135" t="s">
        <v>114</v>
      </c>
      <c r="H14" s="159">
        <v>-582</v>
      </c>
      <c r="I14" s="135" t="s">
        <v>114</v>
      </c>
      <c r="J14" s="135" t="s">
        <v>114</v>
      </c>
      <c r="K14" s="135" t="s">
        <v>114</v>
      </c>
      <c r="L14" s="135" t="s">
        <v>114</v>
      </c>
      <c r="M14" s="55" t="s">
        <v>114</v>
      </c>
      <c r="N14" s="165" t="s">
        <v>114</v>
      </c>
      <c r="O14" s="165" t="s">
        <v>114</v>
      </c>
      <c r="P14" s="165" t="s">
        <v>114</v>
      </c>
      <c r="Q14" s="135" t="s">
        <v>114</v>
      </c>
      <c r="R14" s="55" t="s">
        <v>114</v>
      </c>
      <c r="S14" s="165" t="s">
        <v>114</v>
      </c>
      <c r="T14" s="165" t="s">
        <v>114</v>
      </c>
      <c r="U14" s="165" t="s">
        <v>114</v>
      </c>
      <c r="V14" s="135" t="s">
        <v>114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</row>
    <row r="15" spans="1:57" ht="13.15" customHeight="1">
      <c r="A15" s="62"/>
      <c r="B15" s="136"/>
      <c r="C15" s="159"/>
      <c r="D15" s="136"/>
      <c r="E15" s="136"/>
      <c r="F15" s="136"/>
      <c r="G15" s="136"/>
      <c r="H15" s="35"/>
      <c r="I15" s="135"/>
      <c r="J15" s="135"/>
      <c r="K15" s="135"/>
      <c r="L15" s="136"/>
      <c r="M15" s="35"/>
      <c r="N15" s="165"/>
      <c r="O15" s="165"/>
      <c r="P15" s="165"/>
      <c r="Q15" s="136"/>
      <c r="R15" s="35"/>
      <c r="S15" s="165"/>
      <c r="T15" s="165"/>
      <c r="U15" s="165"/>
      <c r="V15" s="136"/>
      <c r="W15" s="55"/>
      <c r="X15" s="66"/>
      <c r="Y15" s="66"/>
      <c r="Z15" s="66"/>
      <c r="AA15" s="136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</row>
    <row r="16" spans="1:57" ht="13.15" customHeight="1">
      <c r="A16" s="2" t="s">
        <v>205</v>
      </c>
      <c r="B16" s="136"/>
      <c r="C16" s="137" t="s">
        <v>114</v>
      </c>
      <c r="D16" s="136"/>
      <c r="E16" s="136"/>
      <c r="F16" s="136"/>
      <c r="G16" s="136"/>
      <c r="H16" s="137" t="s">
        <v>114</v>
      </c>
      <c r="I16" s="135"/>
      <c r="J16" s="135"/>
      <c r="K16" s="135"/>
      <c r="L16" s="136"/>
      <c r="M16" s="137" t="s">
        <v>114</v>
      </c>
      <c r="N16" s="165" t="s">
        <v>114</v>
      </c>
      <c r="O16" s="165" t="s">
        <v>114</v>
      </c>
      <c r="P16" s="165" t="s">
        <v>114</v>
      </c>
      <c r="Q16" s="135" t="s">
        <v>114</v>
      </c>
      <c r="R16" s="137" t="s">
        <v>114</v>
      </c>
      <c r="S16" s="165" t="s">
        <v>114</v>
      </c>
      <c r="T16" s="165" t="s">
        <v>114</v>
      </c>
      <c r="U16" s="165" t="s">
        <v>114</v>
      </c>
      <c r="V16" s="135" t="s">
        <v>114</v>
      </c>
      <c r="W16" s="55">
        <v>0</v>
      </c>
      <c r="X16" s="66">
        <v>0</v>
      </c>
      <c r="Y16" s="66">
        <v>0</v>
      </c>
      <c r="Z16" s="66">
        <v>0</v>
      </c>
      <c r="AA16" s="135">
        <v>-14</v>
      </c>
      <c r="AB16" s="159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6">
        <f>AL16-AJ16-AI16-AH16</f>
        <v>-22</v>
      </c>
      <c r="AL16" s="159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</row>
    <row r="17" spans="1:43" ht="13.15" customHeight="1">
      <c r="A17" s="62"/>
      <c r="B17" s="136"/>
      <c r="C17" s="159"/>
      <c r="D17" s="136"/>
      <c r="E17" s="136"/>
      <c r="F17" s="136"/>
      <c r="G17" s="136"/>
      <c r="H17" s="35"/>
      <c r="I17" s="135"/>
      <c r="J17" s="135"/>
      <c r="K17" s="135"/>
      <c r="L17" s="136"/>
      <c r="M17" s="35"/>
      <c r="N17" s="165"/>
      <c r="O17" s="165"/>
      <c r="P17" s="165"/>
      <c r="Q17" s="136"/>
      <c r="R17" s="35"/>
      <c r="S17" s="165"/>
      <c r="T17" s="165"/>
      <c r="U17" s="165"/>
      <c r="V17" s="136"/>
      <c r="W17" s="35"/>
      <c r="X17" s="165"/>
      <c r="Y17" s="165"/>
      <c r="Z17" s="165"/>
      <c r="AA17" s="136"/>
      <c r="AB17" s="35"/>
      <c r="AC17" s="165"/>
      <c r="AD17" s="165"/>
      <c r="AE17" s="165"/>
      <c r="AF17" s="136"/>
      <c r="AG17" s="35"/>
      <c r="AH17" s="165"/>
      <c r="AI17" s="165"/>
      <c r="AJ17" s="165"/>
      <c r="AK17" s="136"/>
      <c r="AL17" s="35"/>
      <c r="AM17" s="165"/>
      <c r="AN17" s="165"/>
      <c r="AO17" s="165"/>
      <c r="AP17" s="136"/>
      <c r="AQ17" s="35"/>
    </row>
    <row r="18" spans="1:43" ht="27" customHeight="1">
      <c r="A18" s="160" t="s">
        <v>295</v>
      </c>
      <c r="B18" s="136">
        <v>-29</v>
      </c>
      <c r="C18" s="159">
        <v>-120</v>
      </c>
      <c r="D18" s="136">
        <v>-12</v>
      </c>
      <c r="E18" s="136">
        <v>-102</v>
      </c>
      <c r="F18" s="135">
        <v>-27</v>
      </c>
      <c r="G18" s="136">
        <v>-26</v>
      </c>
      <c r="H18" s="159">
        <v>-167</v>
      </c>
      <c r="I18" s="135">
        <v>-11</v>
      </c>
      <c r="J18" s="135">
        <v>-148</v>
      </c>
      <c r="K18" s="135">
        <v>-13</v>
      </c>
      <c r="L18" s="136">
        <f>M18-SUM(I18:K18)</f>
        <v>-62</v>
      </c>
      <c r="M18" s="159">
        <v>-234</v>
      </c>
      <c r="N18" s="165">
        <v>-11</v>
      </c>
      <c r="O18" s="165">
        <v>-29</v>
      </c>
      <c r="P18" s="165">
        <v>-22</v>
      </c>
      <c r="Q18" s="136">
        <f>R18-P18-O18-N18</f>
        <v>-45</v>
      </c>
      <c r="R18" s="159">
        <v>-107</v>
      </c>
      <c r="S18" s="165">
        <v>-6</v>
      </c>
      <c r="T18" s="165">
        <v>-14</v>
      </c>
      <c r="U18" s="165">
        <v>-45</v>
      </c>
      <c r="V18" s="136">
        <f>W18-U18-T18-S18</f>
        <v>-1</v>
      </c>
      <c r="W18" s="159">
        <v>-66</v>
      </c>
      <c r="X18" s="165">
        <v>-1</v>
      </c>
      <c r="Y18" s="165">
        <v>-5</v>
      </c>
      <c r="Z18" s="165">
        <v>-1</v>
      </c>
      <c r="AA18" s="136">
        <f>AB18-Z18-Y18-X18</f>
        <v>6</v>
      </c>
      <c r="AB18" s="159">
        <v>-1</v>
      </c>
      <c r="AC18" s="165">
        <v>-44</v>
      </c>
      <c r="AD18" s="165">
        <v>-417</v>
      </c>
      <c r="AE18" s="165">
        <v>-11</v>
      </c>
      <c r="AF18" s="136">
        <f>AG18-AE18-AD18-AC18</f>
        <v>-36</v>
      </c>
      <c r="AG18" s="159">
        <v>-508</v>
      </c>
      <c r="AH18" s="165">
        <v>-9</v>
      </c>
      <c r="AI18" s="165">
        <v>4</v>
      </c>
      <c r="AJ18" s="165">
        <v>-6</v>
      </c>
      <c r="AK18" s="136">
        <f>AL18-AJ18-AI18-AH18</f>
        <v>-7</v>
      </c>
      <c r="AL18" s="159">
        <v>-18</v>
      </c>
      <c r="AM18" s="165">
        <v>-125</v>
      </c>
      <c r="AN18" s="165">
        <v>-2</v>
      </c>
      <c r="AO18" s="165">
        <v>4</v>
      </c>
      <c r="AP18" s="136">
        <f>AQ18-AO18-AN18-AM18</f>
        <v>-52</v>
      </c>
      <c r="AQ18" s="159">
        <v>-175</v>
      </c>
    </row>
    <row r="19" spans="1:43" ht="13.15" customHeight="1">
      <c r="A19" s="62"/>
      <c r="B19" s="136"/>
      <c r="C19" s="159"/>
      <c r="D19" s="136"/>
      <c r="E19" s="136"/>
      <c r="F19" s="136"/>
      <c r="G19" s="136"/>
      <c r="H19" s="159"/>
      <c r="I19" s="135"/>
      <c r="J19" s="135"/>
      <c r="K19" s="135"/>
      <c r="L19" s="136"/>
      <c r="M19" s="159"/>
      <c r="N19" s="165"/>
      <c r="O19" s="165"/>
      <c r="P19" s="165"/>
      <c r="Q19" s="136"/>
      <c r="R19" s="159"/>
      <c r="S19" s="165"/>
      <c r="T19" s="165"/>
      <c r="U19" s="165"/>
      <c r="V19" s="136"/>
      <c r="W19" s="159"/>
      <c r="X19" s="165"/>
      <c r="Y19" s="165"/>
      <c r="Z19" s="165"/>
      <c r="AA19" s="136"/>
      <c r="AB19" s="159"/>
      <c r="AC19" s="165"/>
      <c r="AD19" s="165"/>
      <c r="AE19" s="165"/>
      <c r="AF19" s="136"/>
      <c r="AG19" s="159"/>
      <c r="AH19" s="165"/>
      <c r="AI19" s="165"/>
      <c r="AJ19" s="165"/>
      <c r="AK19" s="136"/>
      <c r="AL19" s="159"/>
      <c r="AM19" s="165"/>
      <c r="AN19" s="165"/>
      <c r="AO19" s="165"/>
      <c r="AP19" s="136"/>
      <c r="AQ19" s="159"/>
    </row>
    <row r="20" spans="1:43" ht="13.15" customHeight="1">
      <c r="A20" s="2" t="s">
        <v>142</v>
      </c>
      <c r="B20" s="136">
        <v>-7</v>
      </c>
      <c r="C20" s="159">
        <v>-47</v>
      </c>
      <c r="D20" s="136">
        <v>-5</v>
      </c>
      <c r="E20" s="135">
        <v>-2</v>
      </c>
      <c r="F20" s="135">
        <v>-1</v>
      </c>
      <c r="G20" s="135" t="s">
        <v>114</v>
      </c>
      <c r="H20" s="159">
        <v>-8</v>
      </c>
      <c r="I20" s="135" t="s">
        <v>114</v>
      </c>
      <c r="J20" s="135" t="s">
        <v>114</v>
      </c>
      <c r="K20" s="135" t="s">
        <v>114</v>
      </c>
      <c r="L20" s="135" t="s">
        <v>114</v>
      </c>
      <c r="M20" s="55" t="s">
        <v>114</v>
      </c>
      <c r="N20" s="165" t="s">
        <v>114</v>
      </c>
      <c r="O20" s="165" t="s">
        <v>114</v>
      </c>
      <c r="P20" s="165" t="s">
        <v>114</v>
      </c>
      <c r="Q20" s="135" t="s">
        <v>114</v>
      </c>
      <c r="R20" s="55" t="s">
        <v>114</v>
      </c>
      <c r="S20" s="165" t="s">
        <v>114</v>
      </c>
      <c r="T20" s="165" t="s">
        <v>114</v>
      </c>
      <c r="U20" s="165" t="s">
        <v>114</v>
      </c>
      <c r="V20" s="135" t="s">
        <v>114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5" t="s">
        <v>114</v>
      </c>
      <c r="AD20" s="165" t="s">
        <v>114</v>
      </c>
      <c r="AE20" s="165" t="s">
        <v>114</v>
      </c>
      <c r="AF20" s="135" t="s">
        <v>114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</row>
    <row r="21" spans="1:43" ht="13.15" customHeight="1">
      <c r="A21" s="62"/>
      <c r="B21" s="136"/>
      <c r="C21" s="159"/>
      <c r="D21" s="136"/>
      <c r="E21" s="136"/>
      <c r="F21" s="136"/>
      <c r="G21" s="136"/>
      <c r="H21" s="159"/>
      <c r="I21" s="136"/>
      <c r="J21" s="136"/>
      <c r="K21" s="136"/>
      <c r="L21" s="136"/>
      <c r="M21" s="159"/>
      <c r="N21" s="166"/>
      <c r="O21" s="166"/>
      <c r="P21" s="166"/>
      <c r="Q21" s="136"/>
      <c r="R21" s="159"/>
      <c r="S21" s="166"/>
      <c r="T21" s="166"/>
      <c r="U21" s="166"/>
      <c r="V21" s="136"/>
      <c r="W21" s="159"/>
      <c r="X21" s="66"/>
      <c r="Y21" s="66"/>
      <c r="Z21" s="66"/>
      <c r="AA21" s="66"/>
      <c r="AB21" s="159"/>
      <c r="AC21" s="166"/>
      <c r="AD21" s="166"/>
      <c r="AE21" s="166"/>
      <c r="AF21" s="136"/>
      <c r="AG21" s="159"/>
      <c r="AH21" s="66"/>
      <c r="AI21" s="66"/>
      <c r="AJ21" s="66"/>
      <c r="AK21" s="136"/>
      <c r="AL21" s="159"/>
      <c r="AM21" s="66"/>
      <c r="AN21" s="66"/>
      <c r="AO21" s="66"/>
      <c r="AP21" s="136"/>
      <c r="AQ21" s="159"/>
    </row>
    <row r="22" spans="1:43" ht="13.15" customHeight="1">
      <c r="A22" s="2" t="s">
        <v>143</v>
      </c>
      <c r="B22" s="136">
        <v>2</v>
      </c>
      <c r="C22" s="137" t="s">
        <v>114</v>
      </c>
      <c r="D22" s="135" t="s">
        <v>114</v>
      </c>
      <c r="E22" s="135" t="s">
        <v>114</v>
      </c>
      <c r="F22" s="135">
        <v>-5</v>
      </c>
      <c r="G22" s="136">
        <f>H22-F22</f>
        <v>-18</v>
      </c>
      <c r="H22" s="159">
        <v>-23</v>
      </c>
      <c r="I22" s="136">
        <v>6</v>
      </c>
      <c r="J22" s="136">
        <v>6</v>
      </c>
      <c r="K22" s="135" t="s">
        <v>114</v>
      </c>
      <c r="L22" s="136">
        <f>M22-SUM(I22:K22)</f>
        <v>22</v>
      </c>
      <c r="M22" s="159">
        <v>34</v>
      </c>
      <c r="N22" s="165" t="s">
        <v>114</v>
      </c>
      <c r="O22" s="165" t="s">
        <v>114</v>
      </c>
      <c r="P22" s="165" t="s">
        <v>114</v>
      </c>
      <c r="Q22" s="136"/>
      <c r="R22" s="159"/>
      <c r="S22" s="165" t="s">
        <v>114</v>
      </c>
      <c r="T22" s="165" t="s">
        <v>114</v>
      </c>
      <c r="U22" s="165" t="s">
        <v>114</v>
      </c>
      <c r="V22" s="135" t="s">
        <v>114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5" t="s">
        <v>114</v>
      </c>
      <c r="AD22" s="165" t="s">
        <v>114</v>
      </c>
      <c r="AE22" s="165" t="s">
        <v>114</v>
      </c>
      <c r="AF22" s="135" t="s">
        <v>114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</row>
    <row r="23" spans="1:43" ht="13.15" customHeight="1">
      <c r="A23" s="62"/>
      <c r="B23" s="136"/>
      <c r="C23" s="159"/>
      <c r="D23" s="136"/>
      <c r="E23" s="136"/>
      <c r="F23" s="136"/>
      <c r="G23" s="136"/>
      <c r="H23" s="35"/>
      <c r="I23" s="136"/>
      <c r="J23" s="136"/>
      <c r="K23" s="136"/>
      <c r="L23" s="136"/>
      <c r="M23" s="35"/>
      <c r="N23" s="166"/>
      <c r="O23" s="166"/>
      <c r="P23" s="166"/>
      <c r="Q23" s="136"/>
      <c r="R23" s="35"/>
      <c r="S23" s="166"/>
      <c r="T23" s="166"/>
      <c r="U23" s="166"/>
      <c r="V23" s="136"/>
      <c r="W23" s="35"/>
      <c r="X23" s="66"/>
      <c r="Y23" s="66"/>
      <c r="Z23" s="66"/>
      <c r="AA23" s="66"/>
      <c r="AB23" s="35"/>
      <c r="AC23" s="166"/>
      <c r="AD23" s="166"/>
      <c r="AE23" s="166"/>
      <c r="AF23" s="136"/>
      <c r="AG23" s="35"/>
      <c r="AH23" s="166"/>
      <c r="AI23" s="166"/>
      <c r="AJ23" s="166"/>
      <c r="AK23" s="136"/>
      <c r="AL23" s="35"/>
      <c r="AM23" s="166"/>
      <c r="AN23" s="166"/>
      <c r="AO23" s="166"/>
      <c r="AP23" s="136"/>
      <c r="AQ23" s="35"/>
    </row>
    <row r="24" spans="1:43" ht="25.5" customHeight="1">
      <c r="A24" s="160" t="s">
        <v>263</v>
      </c>
      <c r="B24" s="136">
        <v>53</v>
      </c>
      <c r="C24" s="159">
        <v>90</v>
      </c>
      <c r="D24" s="136">
        <v>8</v>
      </c>
      <c r="E24" s="136">
        <v>117</v>
      </c>
      <c r="F24" s="136">
        <v>8</v>
      </c>
      <c r="G24" s="136">
        <v>43</v>
      </c>
      <c r="H24" s="55">
        <v>176</v>
      </c>
      <c r="I24" s="135" t="s">
        <v>114</v>
      </c>
      <c r="J24" s="135">
        <v>1</v>
      </c>
      <c r="K24" s="135" t="s">
        <v>114</v>
      </c>
      <c r="L24" s="136">
        <f>M24-SUM(I24:K24)</f>
        <v>116</v>
      </c>
      <c r="M24" s="159">
        <v>117</v>
      </c>
      <c r="N24" s="165">
        <v>1</v>
      </c>
      <c r="O24" s="165">
        <v>14</v>
      </c>
      <c r="P24" s="165">
        <v>3</v>
      </c>
      <c r="Q24" s="136">
        <f>R24-P24-O24-N24</f>
        <v>78</v>
      </c>
      <c r="R24" s="159">
        <v>96</v>
      </c>
      <c r="S24" s="165" t="s">
        <v>114</v>
      </c>
      <c r="T24" s="165">
        <v>12</v>
      </c>
      <c r="U24" s="165">
        <v>3</v>
      </c>
      <c r="V24" s="136">
        <f>W24-U24-T24</f>
        <v>8</v>
      </c>
      <c r="W24" s="159">
        <v>23</v>
      </c>
      <c r="X24" s="165">
        <v>12</v>
      </c>
      <c r="Y24" s="165">
        <v>81</v>
      </c>
      <c r="Z24" s="165">
        <v>6</v>
      </c>
      <c r="AA24" s="136">
        <f>AB24-X24-Y24-Z24</f>
        <v>448</v>
      </c>
      <c r="AB24" s="159">
        <v>547</v>
      </c>
      <c r="AC24" s="165">
        <v>-25</v>
      </c>
      <c r="AD24" s="165">
        <v>1</v>
      </c>
      <c r="AE24" s="165">
        <v>3</v>
      </c>
      <c r="AF24" s="136">
        <f>AG24-AC24-AD24-AE24</f>
        <v>130</v>
      </c>
      <c r="AG24" s="159">
        <v>109</v>
      </c>
      <c r="AH24" s="165">
        <v>5</v>
      </c>
      <c r="AI24" s="165">
        <v>-5</v>
      </c>
      <c r="AJ24" s="66">
        <v>0</v>
      </c>
      <c r="AK24" s="66">
        <f>AL24-AH24-AI24-AJ24</f>
        <v>64</v>
      </c>
      <c r="AL24" s="55">
        <v>64</v>
      </c>
      <c r="AM24" s="165">
        <v>2</v>
      </c>
      <c r="AN24" s="165">
        <v>6</v>
      </c>
      <c r="AO24" s="165">
        <v>3</v>
      </c>
      <c r="AP24" s="66">
        <f>AQ24-AM24-AN24-AO24</f>
        <v>84</v>
      </c>
      <c r="AQ24" s="55">
        <v>95</v>
      </c>
    </row>
    <row r="25" spans="1:43" ht="13.15" customHeight="1">
      <c r="A25" s="62"/>
      <c r="B25" s="136"/>
      <c r="C25" s="159"/>
      <c r="D25" s="136"/>
      <c r="E25" s="136"/>
      <c r="F25" s="136"/>
      <c r="G25" s="136"/>
      <c r="H25" s="35"/>
      <c r="I25" s="136"/>
      <c r="J25" s="136"/>
      <c r="K25" s="136"/>
      <c r="L25" s="136"/>
      <c r="M25" s="35"/>
      <c r="N25" s="166"/>
      <c r="O25" s="166"/>
      <c r="P25" s="166"/>
      <c r="Q25" s="136"/>
      <c r="R25" s="35"/>
      <c r="S25" s="166"/>
      <c r="T25" s="166"/>
      <c r="U25" s="166"/>
      <c r="V25" s="136"/>
      <c r="W25" s="35"/>
      <c r="X25" s="166"/>
      <c r="Y25" s="166"/>
      <c r="Z25" s="166"/>
      <c r="AA25" s="136"/>
      <c r="AB25" s="35"/>
      <c r="AC25" s="166"/>
      <c r="AD25" s="166"/>
      <c r="AE25" s="166"/>
      <c r="AF25" s="136"/>
      <c r="AG25" s="35"/>
      <c r="AH25" s="166"/>
      <c r="AI25" s="166"/>
      <c r="AJ25" s="166"/>
      <c r="AK25" s="136"/>
      <c r="AL25" s="35"/>
      <c r="AM25" s="166"/>
      <c r="AN25" s="166"/>
      <c r="AO25" s="166"/>
      <c r="AP25" s="136"/>
      <c r="AQ25" s="35"/>
    </row>
    <row r="26" spans="1:43" ht="28.5" customHeight="1">
      <c r="A26" s="160" t="s">
        <v>262</v>
      </c>
      <c r="B26" s="136">
        <v>61</v>
      </c>
      <c r="C26" s="159">
        <v>61</v>
      </c>
      <c r="D26" s="135" t="s">
        <v>114</v>
      </c>
      <c r="E26" s="135" t="s">
        <v>114</v>
      </c>
      <c r="F26" s="135" t="s">
        <v>114</v>
      </c>
      <c r="G26" s="136">
        <v>18</v>
      </c>
      <c r="H26" s="159">
        <v>18</v>
      </c>
      <c r="I26" s="135" t="s">
        <v>114</v>
      </c>
      <c r="J26" s="135" t="s">
        <v>114</v>
      </c>
      <c r="K26" s="135" t="s">
        <v>114</v>
      </c>
      <c r="L26" s="135" t="s">
        <v>114</v>
      </c>
      <c r="M26" s="55" t="s">
        <v>114</v>
      </c>
      <c r="N26" s="165" t="s">
        <v>114</v>
      </c>
      <c r="O26" s="165" t="s">
        <v>114</v>
      </c>
      <c r="P26" s="165" t="s">
        <v>114</v>
      </c>
      <c r="Q26" s="135" t="s">
        <v>114</v>
      </c>
      <c r="R26" s="55" t="s">
        <v>114</v>
      </c>
      <c r="S26" s="165" t="s">
        <v>114</v>
      </c>
      <c r="T26" s="165" t="s">
        <v>114</v>
      </c>
      <c r="U26" s="165" t="s">
        <v>114</v>
      </c>
      <c r="V26" s="135" t="s">
        <v>114</v>
      </c>
      <c r="W26" s="55">
        <v>3</v>
      </c>
      <c r="X26" s="66">
        <v>0</v>
      </c>
      <c r="Y26" s="165">
        <v>2</v>
      </c>
      <c r="Z26" s="165">
        <v>6</v>
      </c>
      <c r="AA26" s="165">
        <v>4</v>
      </c>
      <c r="AB26" s="55">
        <v>12</v>
      </c>
      <c r="AC26" s="165">
        <v>45</v>
      </c>
      <c r="AD26" s="165" t="s">
        <v>114</v>
      </c>
      <c r="AE26" s="165">
        <v>45</v>
      </c>
      <c r="AF26" s="135">
        <v>77</v>
      </c>
      <c r="AG26" s="159">
        <f>AF26+AE26+AC26</f>
        <v>167</v>
      </c>
      <c r="AH26" s="66">
        <v>0</v>
      </c>
      <c r="AI26" s="165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5">
        <v>1</v>
      </c>
      <c r="AP26" s="66">
        <f>AQ26-AO26-AN26-AM26</f>
        <v>36</v>
      </c>
      <c r="AQ26" s="55">
        <v>37</v>
      </c>
    </row>
    <row r="27" spans="1:43" ht="12" customHeight="1">
      <c r="A27" s="62"/>
      <c r="B27" s="136"/>
      <c r="C27" s="159"/>
      <c r="D27" s="136"/>
      <c r="E27" s="136"/>
      <c r="F27" s="136"/>
      <c r="G27" s="136"/>
      <c r="H27" s="35"/>
      <c r="I27" s="136"/>
      <c r="J27" s="136"/>
      <c r="K27" s="136"/>
      <c r="L27" s="136"/>
      <c r="M27" s="35"/>
      <c r="N27" s="166"/>
      <c r="O27" s="166"/>
      <c r="P27" s="166"/>
      <c r="Q27" s="136"/>
      <c r="R27" s="35"/>
      <c r="S27" s="166"/>
      <c r="T27" s="166"/>
      <c r="U27" s="166"/>
      <c r="V27" s="136"/>
      <c r="W27" s="35"/>
      <c r="X27" s="166"/>
      <c r="Y27" s="166"/>
      <c r="Z27" s="166"/>
      <c r="AA27" s="136"/>
      <c r="AB27" s="35"/>
      <c r="AC27" s="166"/>
      <c r="AD27" s="166"/>
      <c r="AE27" s="166"/>
      <c r="AF27" s="136"/>
      <c r="AG27" s="35"/>
      <c r="AH27" s="166"/>
      <c r="AI27" s="166"/>
      <c r="AJ27" s="166"/>
      <c r="AK27" s="136"/>
      <c r="AL27" s="35"/>
      <c r="AM27" s="166"/>
      <c r="AN27" s="166"/>
      <c r="AO27" s="166"/>
      <c r="AP27" s="136"/>
      <c r="AQ27" s="35"/>
    </row>
    <row r="28" spans="1:43" ht="27" customHeight="1">
      <c r="A28" s="160" t="s">
        <v>144</v>
      </c>
      <c r="B28" s="135">
        <v>1</v>
      </c>
      <c r="C28" s="159">
        <v>1</v>
      </c>
      <c r="D28" s="135" t="s">
        <v>114</v>
      </c>
      <c r="E28" s="135" t="s">
        <v>114</v>
      </c>
      <c r="F28" s="135" t="s">
        <v>114</v>
      </c>
      <c r="G28" s="135" t="s">
        <v>114</v>
      </c>
      <c r="H28" s="55" t="s">
        <v>114</v>
      </c>
      <c r="I28" s="135" t="s">
        <v>114</v>
      </c>
      <c r="J28" s="135" t="s">
        <v>114</v>
      </c>
      <c r="K28" s="135" t="s">
        <v>114</v>
      </c>
      <c r="L28" s="135" t="s">
        <v>114</v>
      </c>
      <c r="M28" s="55" t="s">
        <v>114</v>
      </c>
      <c r="N28" s="165" t="s">
        <v>114</v>
      </c>
      <c r="O28" s="165" t="s">
        <v>114</v>
      </c>
      <c r="P28" s="165" t="s">
        <v>114</v>
      </c>
      <c r="Q28" s="135" t="s">
        <v>114</v>
      </c>
      <c r="R28" s="55" t="s">
        <v>114</v>
      </c>
      <c r="S28" s="165" t="s">
        <v>114</v>
      </c>
      <c r="T28" s="165" t="s">
        <v>114</v>
      </c>
      <c r="U28" s="165" t="s">
        <v>114</v>
      </c>
      <c r="V28" s="135" t="s">
        <v>114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</row>
    <row r="29" spans="1:43" ht="13.15" customHeight="1">
      <c r="A29" s="62"/>
      <c r="B29" s="135"/>
      <c r="C29" s="159"/>
      <c r="D29" s="135"/>
      <c r="E29" s="135"/>
      <c r="F29" s="135"/>
      <c r="G29" s="135"/>
      <c r="H29" s="55"/>
      <c r="I29" s="135"/>
      <c r="J29" s="135"/>
      <c r="K29" s="135"/>
      <c r="L29" s="135"/>
      <c r="M29" s="55"/>
      <c r="N29" s="165"/>
      <c r="O29" s="165"/>
      <c r="P29" s="165"/>
      <c r="Q29" s="135"/>
      <c r="R29" s="55"/>
      <c r="S29" s="165"/>
      <c r="T29" s="165"/>
      <c r="U29" s="165"/>
      <c r="V29" s="135"/>
      <c r="W29" s="55"/>
      <c r="X29" s="165"/>
      <c r="Y29" s="165"/>
      <c r="Z29" s="165"/>
      <c r="AA29" s="135"/>
      <c r="AB29" s="55"/>
      <c r="AC29" s="66"/>
      <c r="AD29" s="66"/>
      <c r="AE29" s="66"/>
      <c r="AF29" s="66"/>
      <c r="AG29" s="55"/>
      <c r="AH29" s="165"/>
      <c r="AI29" s="165"/>
      <c r="AJ29" s="165"/>
      <c r="AK29" s="135"/>
      <c r="AL29" s="55"/>
      <c r="AM29" s="165"/>
      <c r="AN29" s="165"/>
      <c r="AO29" s="165"/>
      <c r="AP29" s="135"/>
      <c r="AQ29" s="55"/>
    </row>
    <row r="30" spans="1:43" ht="13.15" customHeight="1">
      <c r="A30" s="160" t="s">
        <v>264</v>
      </c>
      <c r="B30" s="135"/>
      <c r="C30" s="159"/>
      <c r="D30" s="135"/>
      <c r="E30" s="135"/>
      <c r="F30" s="135"/>
      <c r="G30" s="135"/>
      <c r="H30" s="55"/>
      <c r="I30" s="135"/>
      <c r="J30" s="135"/>
      <c r="K30" s="135"/>
      <c r="L30" s="135"/>
      <c r="M30" s="55"/>
      <c r="N30" s="165"/>
      <c r="O30" s="165"/>
      <c r="P30" s="165"/>
      <c r="Q30" s="135"/>
      <c r="R30" s="55"/>
      <c r="S30" s="165"/>
      <c r="T30" s="165"/>
      <c r="U30" s="165"/>
      <c r="V30" s="135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5">
        <v>-9</v>
      </c>
      <c r="AJ30" s="66">
        <v>0</v>
      </c>
      <c r="AK30" s="66">
        <f>AL30-AJ30-AI30-AH30</f>
        <v>0</v>
      </c>
      <c r="AL30" s="159">
        <v>-9</v>
      </c>
      <c r="AM30" s="66">
        <v>0</v>
      </c>
      <c r="AN30" s="66">
        <v>0</v>
      </c>
      <c r="AO30" s="66">
        <v>0</v>
      </c>
      <c r="AP30" s="165">
        <f>AQ30-AO30-AN30-AM30</f>
        <v>-5</v>
      </c>
      <c r="AQ30" s="159">
        <v>-5</v>
      </c>
    </row>
    <row r="31" spans="1:43" ht="13.15" customHeight="1">
      <c r="A31" s="62"/>
      <c r="B31" s="135"/>
      <c r="C31" s="159"/>
      <c r="D31" s="135"/>
      <c r="E31" s="135"/>
      <c r="F31" s="135"/>
      <c r="G31" s="135"/>
      <c r="H31" s="55"/>
      <c r="I31" s="135"/>
      <c r="J31" s="135"/>
      <c r="K31" s="135"/>
      <c r="L31" s="135"/>
      <c r="M31" s="55"/>
      <c r="N31" s="165"/>
      <c r="O31" s="165"/>
      <c r="P31" s="165"/>
      <c r="Q31" s="135"/>
      <c r="R31" s="55"/>
      <c r="S31" s="165"/>
      <c r="T31" s="165"/>
      <c r="U31" s="165"/>
      <c r="V31" s="135"/>
      <c r="W31" s="55"/>
      <c r="X31" s="165"/>
      <c r="Y31" s="165"/>
      <c r="Z31" s="165"/>
      <c r="AA31" s="135"/>
      <c r="AB31" s="55"/>
      <c r="AC31" s="165"/>
      <c r="AD31" s="165"/>
      <c r="AE31" s="165"/>
      <c r="AF31" s="135"/>
      <c r="AG31" s="55"/>
      <c r="AH31" s="165"/>
      <c r="AI31" s="165"/>
      <c r="AJ31" s="165"/>
      <c r="AK31" s="135"/>
      <c r="AL31" s="55"/>
      <c r="AM31" s="165"/>
      <c r="AN31" s="165"/>
      <c r="AO31" s="165"/>
      <c r="AP31" s="135"/>
      <c r="AQ31" s="55"/>
    </row>
    <row r="32" spans="1:43" ht="13.15" customHeight="1">
      <c r="A32" s="160" t="s">
        <v>303</v>
      </c>
      <c r="B32" s="135"/>
      <c r="C32" s="159"/>
      <c r="D32" s="135"/>
      <c r="E32" s="135"/>
      <c r="F32" s="135"/>
      <c r="G32" s="135"/>
      <c r="H32" s="55"/>
      <c r="I32" s="135"/>
      <c r="J32" s="135"/>
      <c r="K32" s="135"/>
      <c r="L32" s="135"/>
      <c r="M32" s="55"/>
      <c r="N32" s="165"/>
      <c r="O32" s="165"/>
      <c r="P32" s="165"/>
      <c r="Q32" s="135"/>
      <c r="R32" s="55"/>
      <c r="S32" s="165"/>
      <c r="T32" s="165"/>
      <c r="U32" s="165"/>
      <c r="V32" s="135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9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</row>
    <row r="33" spans="1:56" ht="13.15" customHeight="1">
      <c r="A33" s="62"/>
      <c r="B33" s="135"/>
      <c r="C33" s="159"/>
      <c r="D33" s="135"/>
      <c r="E33" s="135"/>
      <c r="F33" s="135"/>
      <c r="G33" s="135"/>
      <c r="H33" s="55"/>
      <c r="I33" s="135"/>
      <c r="J33" s="135"/>
      <c r="K33" s="135"/>
      <c r="L33" s="135"/>
      <c r="M33" s="55"/>
      <c r="N33" s="165"/>
      <c r="O33" s="165"/>
      <c r="P33" s="165"/>
      <c r="Q33" s="135"/>
      <c r="R33" s="55"/>
      <c r="S33" s="165"/>
      <c r="T33" s="165"/>
      <c r="U33" s="165"/>
      <c r="V33" s="135"/>
      <c r="W33" s="55"/>
      <c r="X33" s="165"/>
      <c r="Y33" s="165"/>
      <c r="Z33" s="165"/>
      <c r="AA33" s="135"/>
      <c r="AB33" s="55"/>
      <c r="AC33" s="165"/>
      <c r="AD33" s="165"/>
      <c r="AE33" s="165"/>
      <c r="AF33" s="135"/>
      <c r="AG33" s="55"/>
      <c r="AH33" s="165"/>
      <c r="AI33" s="165"/>
      <c r="AJ33" s="165"/>
      <c r="AK33" s="135"/>
      <c r="AL33" s="55"/>
      <c r="AM33" s="165"/>
      <c r="AN33" s="165"/>
      <c r="AO33" s="165"/>
      <c r="AP33" s="135"/>
      <c r="AQ33" s="55"/>
    </row>
    <row r="34" spans="1:56" ht="13.15" customHeight="1">
      <c r="A34" s="160" t="s">
        <v>208</v>
      </c>
      <c r="B34" s="135" t="s">
        <v>114</v>
      </c>
      <c r="C34" s="137" t="s">
        <v>114</v>
      </c>
      <c r="D34" s="136">
        <v>1</v>
      </c>
      <c r="E34" s="136">
        <v>1</v>
      </c>
      <c r="F34" s="135" t="s">
        <v>114</v>
      </c>
      <c r="G34" s="135">
        <v>-2</v>
      </c>
      <c r="H34" s="55" t="s">
        <v>114</v>
      </c>
      <c r="I34" s="135" t="s">
        <v>114</v>
      </c>
      <c r="J34" s="135" t="s">
        <v>114</v>
      </c>
      <c r="K34" s="135" t="s">
        <v>114</v>
      </c>
      <c r="L34" s="135" t="s">
        <v>114</v>
      </c>
      <c r="M34" s="55" t="s">
        <v>114</v>
      </c>
      <c r="N34" s="165">
        <v>15</v>
      </c>
      <c r="O34" s="165">
        <v>3</v>
      </c>
      <c r="P34" s="165">
        <v>-7</v>
      </c>
      <c r="Q34" s="135" t="s">
        <v>114</v>
      </c>
      <c r="R34" s="55">
        <v>11</v>
      </c>
      <c r="S34" s="165">
        <v>2</v>
      </c>
      <c r="T34" s="165">
        <v>1</v>
      </c>
      <c r="U34" s="165">
        <v>19</v>
      </c>
      <c r="V34" s="136">
        <f>W34-U34-T34-S34</f>
        <v>-1</v>
      </c>
      <c r="W34" s="55">
        <v>21</v>
      </c>
      <c r="X34" s="165">
        <v>12</v>
      </c>
      <c r="Y34" s="165">
        <v>8</v>
      </c>
      <c r="Z34" s="165">
        <v>1</v>
      </c>
      <c r="AA34" s="136">
        <f>AB34-Z34-Y34-X34</f>
        <v>69</v>
      </c>
      <c r="AB34" s="159">
        <v>90</v>
      </c>
      <c r="AC34" s="165">
        <v>-1</v>
      </c>
      <c r="AD34" s="165">
        <v>2</v>
      </c>
      <c r="AE34" s="165">
        <v>2</v>
      </c>
      <c r="AF34" s="136">
        <f>AG34-AE34-AD34-AC34</f>
        <v>8</v>
      </c>
      <c r="AG34" s="159">
        <v>11</v>
      </c>
      <c r="AH34" s="165">
        <v>1</v>
      </c>
      <c r="AI34" s="165">
        <v>-4</v>
      </c>
      <c r="AJ34" s="165">
        <v>-1</v>
      </c>
      <c r="AK34" s="136">
        <f>AL34-AJ34-AI34-AH34</f>
        <v>14</v>
      </c>
      <c r="AL34" s="55">
        <v>10</v>
      </c>
      <c r="AM34" s="165">
        <v>-29</v>
      </c>
      <c r="AN34" s="165">
        <v>-2</v>
      </c>
      <c r="AO34" s="165">
        <v>-1</v>
      </c>
      <c r="AP34" s="136">
        <f>AQ34-AO34-AN34-AM34</f>
        <v>3</v>
      </c>
      <c r="AQ34" s="159">
        <v>-29</v>
      </c>
    </row>
    <row r="35" spans="1:56" ht="13.15" customHeight="1">
      <c r="A35" s="161"/>
      <c r="B35" s="136"/>
      <c r="C35" s="159"/>
      <c r="D35" s="136"/>
      <c r="E35" s="136"/>
      <c r="F35" s="136"/>
      <c r="G35" s="136"/>
      <c r="H35" s="159"/>
      <c r="I35" s="136"/>
      <c r="J35" s="136"/>
      <c r="K35" s="136"/>
      <c r="L35" s="136"/>
      <c r="M35" s="159"/>
      <c r="N35" s="166"/>
      <c r="O35" s="166"/>
      <c r="P35" s="166"/>
      <c r="Q35" s="136"/>
      <c r="R35" s="159"/>
      <c r="S35" s="166"/>
      <c r="T35" s="166"/>
      <c r="U35" s="166"/>
      <c r="V35" s="136"/>
      <c r="W35" s="159"/>
      <c r="X35" s="166"/>
      <c r="Y35" s="166"/>
      <c r="Z35" s="166"/>
      <c r="AA35" s="136"/>
      <c r="AB35" s="159"/>
      <c r="AC35" s="166"/>
      <c r="AD35" s="166"/>
      <c r="AE35" s="166"/>
      <c r="AF35" s="136"/>
      <c r="AG35" s="159"/>
      <c r="AH35" s="166"/>
      <c r="AI35" s="166"/>
      <c r="AJ35" s="166"/>
      <c r="AK35" s="136"/>
      <c r="AL35" s="159"/>
      <c r="AM35" s="166"/>
      <c r="AN35" s="166"/>
      <c r="AO35" s="166"/>
      <c r="AP35" s="136"/>
      <c r="AQ35" s="159"/>
    </row>
    <row r="36" spans="1:56" ht="13.15" customHeight="1">
      <c r="A36" s="162" t="s">
        <v>145</v>
      </c>
      <c r="B36" s="163">
        <f t="shared" ref="B36:S36" si="0">SUM(B12:B34)</f>
        <v>81</v>
      </c>
      <c r="C36" s="164">
        <f t="shared" si="0"/>
        <v>-15</v>
      </c>
      <c r="D36" s="163">
        <f t="shared" si="0"/>
        <v>-8</v>
      </c>
      <c r="E36" s="163">
        <f t="shared" si="0"/>
        <v>-568</v>
      </c>
      <c r="F36" s="163">
        <f t="shared" si="0"/>
        <v>-25</v>
      </c>
      <c r="G36" s="163">
        <f t="shared" si="0"/>
        <v>15</v>
      </c>
      <c r="H36" s="164">
        <f t="shared" si="0"/>
        <v>-586</v>
      </c>
      <c r="I36" s="163">
        <f t="shared" si="0"/>
        <v>-17</v>
      </c>
      <c r="J36" s="163">
        <f t="shared" si="0"/>
        <v>-141</v>
      </c>
      <c r="K36" s="163">
        <f t="shared" si="0"/>
        <v>-13</v>
      </c>
      <c r="L36" s="163">
        <f t="shared" si="0"/>
        <v>76</v>
      </c>
      <c r="M36" s="164">
        <f t="shared" si="0"/>
        <v>-95</v>
      </c>
      <c r="N36" s="167">
        <f t="shared" si="0"/>
        <v>5</v>
      </c>
      <c r="O36" s="167">
        <f t="shared" si="0"/>
        <v>-12</v>
      </c>
      <c r="P36" s="167">
        <f t="shared" si="0"/>
        <v>-26</v>
      </c>
      <c r="Q36" s="163">
        <f t="shared" si="0"/>
        <v>33</v>
      </c>
      <c r="R36" s="164">
        <f t="shared" si="0"/>
        <v>0</v>
      </c>
      <c r="S36" s="167">
        <f t="shared" si="0"/>
        <v>-4</v>
      </c>
      <c r="T36" s="167">
        <f>SUM(T12:T34)</f>
        <v>-1</v>
      </c>
      <c r="U36" s="167">
        <f>SUM(U12:U34)</f>
        <v>-23</v>
      </c>
      <c r="V36" s="163">
        <f>SUM(V12:V34)</f>
        <v>6</v>
      </c>
      <c r="W36" s="164">
        <f>SUM(W12:W35)</f>
        <v>-19</v>
      </c>
      <c r="X36" s="167">
        <f>SUM(X12:X34)</f>
        <v>23</v>
      </c>
      <c r="Y36" s="167">
        <f>SUM(Y12:Y34)</f>
        <v>86</v>
      </c>
      <c r="Z36" s="167">
        <f>SUM(Z12:Z34)</f>
        <v>12</v>
      </c>
      <c r="AA36" s="163">
        <f>SUM(AA12:AA34)</f>
        <v>513</v>
      </c>
      <c r="AB36" s="164">
        <f>SUM(AB12:AB35)</f>
        <v>634</v>
      </c>
      <c r="AC36" s="167">
        <f>SUM(AC12:AC34)</f>
        <v>-25</v>
      </c>
      <c r="AD36" s="167">
        <f>SUM(AD12:AD34)</f>
        <v>-414</v>
      </c>
      <c r="AE36" s="167">
        <f>SUM(AE12:AE34)</f>
        <v>39</v>
      </c>
      <c r="AF36" s="163">
        <f>AG36-AE36-AD36-AC36</f>
        <v>179</v>
      </c>
      <c r="AG36" s="164">
        <f>SUM(AG12:AG35)</f>
        <v>-221</v>
      </c>
      <c r="AH36" s="167">
        <f>SUM(AH12:AH34)</f>
        <v>-3</v>
      </c>
      <c r="AI36" s="167">
        <f>SUM(AI12:AI34)</f>
        <v>-19</v>
      </c>
      <c r="AJ36" s="167">
        <f>SUM(AJ12:AJ34)</f>
        <v>-7</v>
      </c>
      <c r="AK36" s="163">
        <f>AL36-AJ36-AI36-AH36</f>
        <v>103</v>
      </c>
      <c r="AL36" s="164">
        <f>SUM(AL12:AL35)</f>
        <v>74</v>
      </c>
      <c r="AM36" s="167">
        <f>SUM(AM12:AM34)</f>
        <v>-152</v>
      </c>
      <c r="AN36" s="167">
        <f>SUM(AN12:AN34)</f>
        <v>2</v>
      </c>
      <c r="AO36" s="167">
        <f>SUM(AO12:AO34)</f>
        <v>7</v>
      </c>
      <c r="AP36" s="163">
        <f>AQ36-AO36-AN36-AM36</f>
        <v>66</v>
      </c>
      <c r="AQ36" s="164">
        <f>SUM(AQ12:AQ35)</f>
        <v>-77</v>
      </c>
    </row>
    <row r="37" spans="1:56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spans="1:56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56" ht="20.25">
      <c r="A39" s="33" t="s">
        <v>331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</row>
    <row r="40" spans="1:56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</row>
    <row r="41" spans="1:56">
      <c r="A41" s="328" t="s">
        <v>311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</row>
    <row r="42" spans="1:56">
      <c r="A42" s="2" t="s">
        <v>320</v>
      </c>
      <c r="W42" s="55"/>
      <c r="AB42" s="159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9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9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9">
        <v>230</v>
      </c>
    </row>
    <row r="43" spans="1:56" ht="12.75" customHeight="1">
      <c r="A43" s="160" t="s">
        <v>321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3" si="1">AG43-AE43-AD43-AC43</f>
        <v>20</v>
      </c>
      <c r="AG43" s="159">
        <v>93</v>
      </c>
      <c r="AH43" s="66">
        <v>0</v>
      </c>
      <c r="AI43" s="2">
        <v>51</v>
      </c>
      <c r="AJ43" s="66">
        <v>0</v>
      </c>
      <c r="AK43" s="2">
        <f t="shared" ref="AK43:AK53" si="2">AL43-AJ43-AI43-AH43</f>
        <v>14</v>
      </c>
      <c r="AL43" s="159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9">
        <v>15</v>
      </c>
    </row>
    <row r="44" spans="1:56">
      <c r="A44" s="2" t="s">
        <v>322</v>
      </c>
      <c r="W44" s="55"/>
      <c r="AB44" s="159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9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9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9">
        <v>40</v>
      </c>
      <c r="BD44">
        <v>-0.11</v>
      </c>
    </row>
    <row r="45" spans="1:56">
      <c r="A45" s="2" t="s">
        <v>323</v>
      </c>
      <c r="W45" s="55"/>
      <c r="AB45" s="159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9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9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9">
        <v>49</v>
      </c>
    </row>
    <row r="46" spans="1:56">
      <c r="A46" s="2" t="s">
        <v>324</v>
      </c>
      <c r="W46" s="55"/>
      <c r="AB46" s="159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9">
        <v>89</v>
      </c>
      <c r="AH46" s="165">
        <v>-29</v>
      </c>
      <c r="AI46" s="2">
        <v>29</v>
      </c>
      <c r="AJ46" s="2">
        <v>8</v>
      </c>
      <c r="AK46" s="66">
        <f t="shared" si="2"/>
        <v>0</v>
      </c>
      <c r="AL46" s="159">
        <v>8</v>
      </c>
      <c r="AM46" s="165">
        <v>3</v>
      </c>
      <c r="AN46" s="2">
        <v>2</v>
      </c>
      <c r="AO46" s="2">
        <v>4</v>
      </c>
      <c r="AP46" s="165">
        <f t="shared" si="3"/>
        <v>-2</v>
      </c>
      <c r="AQ46" s="55">
        <v>7</v>
      </c>
    </row>
    <row r="47" spans="1:56">
      <c r="A47" s="2" t="s">
        <v>402</v>
      </c>
      <c r="W47" s="55"/>
      <c r="AB47" s="159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5">
        <v>-7</v>
      </c>
      <c r="AI47" s="2">
        <v>4</v>
      </c>
      <c r="AJ47" s="66">
        <v>0</v>
      </c>
      <c r="AK47" s="2">
        <f t="shared" si="2"/>
        <v>14</v>
      </c>
      <c r="AL47" s="159">
        <v>11</v>
      </c>
      <c r="AM47" s="165">
        <v>-7</v>
      </c>
      <c r="AN47" s="2">
        <v>3</v>
      </c>
      <c r="AO47" s="2">
        <v>2</v>
      </c>
      <c r="AP47" s="165">
        <f t="shared" si="3"/>
        <v>2</v>
      </c>
      <c r="AQ47" s="55">
        <v>0</v>
      </c>
    </row>
    <row r="48" spans="1:56">
      <c r="A48" s="2" t="s">
        <v>325</v>
      </c>
      <c r="W48" s="55"/>
      <c r="AB48" s="159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9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9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9">
        <v>8</v>
      </c>
    </row>
    <row r="49" spans="1:43" ht="25.5">
      <c r="A49" s="160" t="s">
        <v>326</v>
      </c>
      <c r="W49" s="55"/>
      <c r="AB49" s="159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</row>
    <row r="50" spans="1:43" ht="5.25" customHeight="1">
      <c r="A50" s="328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28"/>
      <c r="AC50" s="328"/>
      <c r="AD50" s="328"/>
      <c r="AE50" s="328"/>
      <c r="AF50" s="328"/>
      <c r="AG50" s="328"/>
      <c r="AH50" s="328"/>
      <c r="AI50" s="328"/>
      <c r="AJ50" s="328"/>
      <c r="AK50" s="328"/>
      <c r="AL50" s="328"/>
      <c r="AM50" s="328"/>
      <c r="AN50" s="328"/>
      <c r="AO50" s="328"/>
      <c r="AP50" s="328"/>
      <c r="AQ50" s="328"/>
    </row>
    <row r="51" spans="1:43">
      <c r="A51" s="2" t="s">
        <v>329</v>
      </c>
      <c r="W51" s="55"/>
      <c r="AB51" s="159">
        <v>30</v>
      </c>
      <c r="AC51" s="2">
        <v>8</v>
      </c>
      <c r="AD51" s="2">
        <v>7</v>
      </c>
      <c r="AE51" s="2">
        <v>8</v>
      </c>
      <c r="AF51" s="2">
        <f t="shared" si="1"/>
        <v>6</v>
      </c>
      <c r="AG51" s="159">
        <v>29</v>
      </c>
      <c r="AH51" s="2">
        <v>8</v>
      </c>
      <c r="AI51" s="2">
        <v>7</v>
      </c>
      <c r="AJ51" s="2">
        <v>8</v>
      </c>
      <c r="AK51" s="2">
        <f t="shared" si="2"/>
        <v>7</v>
      </c>
      <c r="AL51" s="159">
        <v>30</v>
      </c>
      <c r="AM51" s="2">
        <v>8</v>
      </c>
      <c r="AN51" s="2">
        <v>7</v>
      </c>
      <c r="AO51" s="2">
        <v>6</v>
      </c>
      <c r="AP51" s="2">
        <f>AQ51-AO51-AN51-AM51</f>
        <v>7</v>
      </c>
      <c r="AQ51" s="159">
        <v>28</v>
      </c>
    </row>
    <row r="52" spans="1:43">
      <c r="A52" s="2" t="s">
        <v>327</v>
      </c>
      <c r="W52" s="55"/>
      <c r="AB52" s="159">
        <v>27</v>
      </c>
      <c r="AC52" s="2">
        <v>6</v>
      </c>
      <c r="AD52" s="2">
        <v>6</v>
      </c>
      <c r="AE52" s="2">
        <v>11</v>
      </c>
      <c r="AF52" s="2">
        <f t="shared" si="1"/>
        <v>9</v>
      </c>
      <c r="AG52" s="159">
        <v>32</v>
      </c>
      <c r="AH52" s="2">
        <v>6</v>
      </c>
      <c r="AI52" s="2">
        <v>3</v>
      </c>
      <c r="AJ52" s="2">
        <v>6</v>
      </c>
      <c r="AK52" s="66">
        <f t="shared" si="2"/>
        <v>0</v>
      </c>
      <c r="AL52" s="159">
        <v>15</v>
      </c>
      <c r="AM52" s="2">
        <v>11</v>
      </c>
      <c r="AN52" s="2">
        <v>1</v>
      </c>
      <c r="AO52" s="2">
        <v>3</v>
      </c>
      <c r="AP52" s="66">
        <f>AQ52-AO52-AN52-AM52</f>
        <v>1</v>
      </c>
      <c r="AQ52" s="159">
        <v>16</v>
      </c>
    </row>
    <row r="53" spans="1:43">
      <c r="A53" s="2" t="s">
        <v>328</v>
      </c>
      <c r="W53" s="55"/>
      <c r="AB53" s="55">
        <v>0</v>
      </c>
      <c r="AC53" s="66">
        <v>0</v>
      </c>
      <c r="AD53" s="66">
        <v>0</v>
      </c>
      <c r="AE53" s="66">
        <v>0</v>
      </c>
      <c r="AF53" s="2">
        <f t="shared" si="1"/>
        <v>14</v>
      </c>
      <c r="AG53" s="159">
        <v>14</v>
      </c>
      <c r="AH53" s="66">
        <v>0</v>
      </c>
      <c r="AI53" s="66">
        <v>0</v>
      </c>
      <c r="AJ53" s="66">
        <v>0</v>
      </c>
      <c r="AK53" s="66">
        <f t="shared" si="2"/>
        <v>0</v>
      </c>
      <c r="AL53" s="55">
        <v>0</v>
      </c>
      <c r="AM53" s="66">
        <v>0</v>
      </c>
      <c r="AN53" s="66">
        <v>0</v>
      </c>
      <c r="AO53" s="66">
        <v>0</v>
      </c>
      <c r="AP53" s="66">
        <f>AQ53-AO53-AN53-AM53</f>
        <v>0</v>
      </c>
      <c r="AQ53" s="55">
        <v>0</v>
      </c>
    </row>
    <row r="54" spans="1:43">
      <c r="A54" s="328" t="s">
        <v>330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56">
        <f t="shared" ref="AB54:AQ54" si="4">AB42+AB43+AB44+AB45+AB46+AB47+AB48+AB49-AB51-AB52-AB53</f>
        <v>435</v>
      </c>
      <c r="AC54" s="356">
        <f t="shared" si="4"/>
        <v>99</v>
      </c>
      <c r="AD54" s="356">
        <f t="shared" si="4"/>
        <v>136</v>
      </c>
      <c r="AE54" s="356">
        <f t="shared" si="4"/>
        <v>205</v>
      </c>
      <c r="AF54" s="356">
        <f t="shared" si="4"/>
        <v>109</v>
      </c>
      <c r="AG54" s="356">
        <f t="shared" si="4"/>
        <v>549</v>
      </c>
      <c r="AH54" s="356">
        <f t="shared" si="4"/>
        <v>34</v>
      </c>
      <c r="AI54" s="356">
        <f t="shared" si="4"/>
        <v>159</v>
      </c>
      <c r="AJ54" s="356">
        <f t="shared" si="4"/>
        <v>80</v>
      </c>
      <c r="AK54" s="356">
        <f t="shared" si="4"/>
        <v>98</v>
      </c>
      <c r="AL54" s="356">
        <f t="shared" si="4"/>
        <v>371</v>
      </c>
      <c r="AM54" s="356">
        <f t="shared" si="4"/>
        <v>51</v>
      </c>
      <c r="AN54" s="356">
        <f t="shared" si="4"/>
        <v>84</v>
      </c>
      <c r="AO54" s="356">
        <f t="shared" si="4"/>
        <v>100</v>
      </c>
      <c r="AP54" s="356">
        <f t="shared" si="4"/>
        <v>70</v>
      </c>
      <c r="AQ54" s="356">
        <f t="shared" si="4"/>
        <v>305</v>
      </c>
    </row>
    <row r="55" spans="1:43" ht="3" customHeight="1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</row>
    <row r="56" spans="1:43" ht="12" customHeight="1"/>
    <row r="57" spans="1:43" ht="2.25" customHeight="1">
      <c r="A57" s="347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</row>
    <row r="58" spans="1:43" ht="20.25">
      <c r="A58" s="33" t="s">
        <v>332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</row>
    <row r="59" spans="1:4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</row>
    <row r="60" spans="1:43">
      <c r="A60" s="328" t="s">
        <v>312</v>
      </c>
      <c r="B60" s="316"/>
      <c r="C60" s="316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  <c r="W60" s="316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</row>
    <row r="61" spans="1:43">
      <c r="A61" s="2" t="s">
        <v>316</v>
      </c>
      <c r="W61" s="55"/>
      <c r="AB61" s="55">
        <v>0</v>
      </c>
      <c r="AC61" s="66">
        <v>0</v>
      </c>
      <c r="AD61" s="66">
        <v>0</v>
      </c>
      <c r="AE61" s="66">
        <v>0</v>
      </c>
      <c r="AF61" s="268">
        <f>AG61</f>
        <v>196</v>
      </c>
      <c r="AG61" s="55">
        <v>196</v>
      </c>
      <c r="AH61" s="66">
        <v>0</v>
      </c>
      <c r="AI61" s="66">
        <v>0</v>
      </c>
      <c r="AJ61" s="269">
        <v>282</v>
      </c>
      <c r="AK61" s="269">
        <v>25</v>
      </c>
      <c r="AL61" s="55">
        <v>307</v>
      </c>
      <c r="AM61" s="66">
        <v>0</v>
      </c>
      <c r="AN61" s="66">
        <v>0</v>
      </c>
      <c r="AO61" s="66">
        <v>0</v>
      </c>
      <c r="AP61" s="66">
        <v>0</v>
      </c>
      <c r="AQ61" s="55">
        <v>0</v>
      </c>
    </row>
    <row r="62" spans="1:43">
      <c r="A62" s="2" t="s">
        <v>317</v>
      </c>
      <c r="W62" s="55"/>
      <c r="AB62" s="55">
        <v>37</v>
      </c>
      <c r="AC62" s="66">
        <v>0</v>
      </c>
      <c r="AD62" s="66">
        <v>0</v>
      </c>
      <c r="AE62" s="66">
        <v>0</v>
      </c>
      <c r="AF62" s="66">
        <v>0</v>
      </c>
      <c r="AG62" s="55">
        <v>0</v>
      </c>
      <c r="AH62" s="66">
        <v>0</v>
      </c>
      <c r="AI62" s="66">
        <v>0</v>
      </c>
      <c r="AJ62" s="235">
        <f>AL62</f>
        <v>-14</v>
      </c>
      <c r="AK62" s="66">
        <v>0</v>
      </c>
      <c r="AL62" s="159">
        <v>-14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</row>
    <row r="63" spans="1:43">
      <c r="A63" s="2" t="s">
        <v>318</v>
      </c>
      <c r="W63" s="55"/>
      <c r="AB63" s="55">
        <v>0</v>
      </c>
      <c r="AC63" s="66">
        <v>0</v>
      </c>
      <c r="AD63" s="268">
        <v>951</v>
      </c>
      <c r="AE63" s="66">
        <v>0</v>
      </c>
      <c r="AF63" s="66">
        <v>0</v>
      </c>
      <c r="AG63" s="55">
        <v>951</v>
      </c>
      <c r="AH63" s="66">
        <v>0</v>
      </c>
      <c r="AI63" s="66">
        <v>0</v>
      </c>
      <c r="AJ63" s="66">
        <v>0</v>
      </c>
      <c r="AK63" s="66">
        <v>0</v>
      </c>
      <c r="AL63" s="55">
        <v>0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</row>
    <row r="64" spans="1:43">
      <c r="A64" s="2" t="s">
        <v>319</v>
      </c>
      <c r="W64" s="55"/>
      <c r="AB64" s="55">
        <v>1638</v>
      </c>
      <c r="AC64" s="66">
        <v>0</v>
      </c>
      <c r="AD64" s="66">
        <v>0</v>
      </c>
      <c r="AE64" s="66">
        <v>0</v>
      </c>
      <c r="AF64" s="66">
        <v>0</v>
      </c>
      <c r="AG64" s="55">
        <v>0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</row>
    <row r="65" spans="1:43">
      <c r="A65" s="328" t="s">
        <v>238</v>
      </c>
      <c r="B65" s="316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32">
        <f t="shared" ref="AB65:AQ65" si="5">SUM(AB61:AB64)</f>
        <v>1675</v>
      </c>
      <c r="AC65" s="332">
        <f t="shared" si="5"/>
        <v>0</v>
      </c>
      <c r="AD65" s="332">
        <f t="shared" si="5"/>
        <v>951</v>
      </c>
      <c r="AE65" s="332">
        <f t="shared" si="5"/>
        <v>0</v>
      </c>
      <c r="AF65" s="332">
        <f t="shared" si="5"/>
        <v>196</v>
      </c>
      <c r="AG65" s="332">
        <f t="shared" si="5"/>
        <v>1147</v>
      </c>
      <c r="AH65" s="332">
        <f t="shared" si="5"/>
        <v>0</v>
      </c>
      <c r="AI65" s="332">
        <f t="shared" si="5"/>
        <v>0</v>
      </c>
      <c r="AJ65" s="332">
        <f t="shared" si="5"/>
        <v>268</v>
      </c>
      <c r="AK65" s="332">
        <f t="shared" si="5"/>
        <v>25</v>
      </c>
      <c r="AL65" s="328">
        <f t="shared" si="5"/>
        <v>293</v>
      </c>
      <c r="AM65" s="332">
        <f t="shared" si="5"/>
        <v>0</v>
      </c>
      <c r="AN65" s="332">
        <f t="shared" si="5"/>
        <v>0</v>
      </c>
      <c r="AO65" s="332">
        <f t="shared" si="5"/>
        <v>0</v>
      </c>
      <c r="AP65" s="332">
        <f t="shared" si="5"/>
        <v>0</v>
      </c>
      <c r="AQ65" s="332">
        <f t="shared" si="5"/>
        <v>0</v>
      </c>
    </row>
    <row r="66" spans="1:43" ht="2.25" customHeight="1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</row>
    <row r="67" spans="1:43" ht="11.25" customHeight="1"/>
    <row r="68" spans="1:43" ht="3" customHeight="1">
      <c r="A68" s="347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8"/>
    </row>
    <row r="69" spans="1:43" ht="20.25">
      <c r="A69" s="33" t="s">
        <v>333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3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</row>
    <row r="71" spans="1:43">
      <c r="A71" s="328" t="s">
        <v>59</v>
      </c>
      <c r="B71" s="316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</row>
    <row r="72" spans="1:43">
      <c r="A72" s="2" t="s">
        <v>313</v>
      </c>
      <c r="W72" s="270" t="s">
        <v>38</v>
      </c>
      <c r="AB72" s="55">
        <v>2571</v>
      </c>
      <c r="AC72" s="70" t="s">
        <v>38</v>
      </c>
      <c r="AD72" s="70" t="s">
        <v>38</v>
      </c>
      <c r="AE72" s="70" t="s">
        <v>38</v>
      </c>
      <c r="AF72" s="70" t="s">
        <v>38</v>
      </c>
      <c r="AG72" s="55">
        <v>2472</v>
      </c>
      <c r="AH72" s="70" t="s">
        <v>38</v>
      </c>
      <c r="AI72" s="70" t="s">
        <v>38</v>
      </c>
      <c r="AJ72" s="70" t="s">
        <v>38</v>
      </c>
      <c r="AK72" s="70" t="s">
        <v>38</v>
      </c>
      <c r="AL72" s="55">
        <v>2439</v>
      </c>
      <c r="AM72" s="70" t="s">
        <v>38</v>
      </c>
      <c r="AN72" s="70" t="s">
        <v>38</v>
      </c>
      <c r="AO72" s="70" t="s">
        <v>38</v>
      </c>
      <c r="AP72" s="70" t="s">
        <v>38</v>
      </c>
      <c r="AQ72" s="55">
        <v>2410</v>
      </c>
    </row>
    <row r="73" spans="1:43">
      <c r="A73" s="60" t="s">
        <v>374</v>
      </c>
      <c r="W73" s="270"/>
      <c r="AB73" s="55">
        <v>0</v>
      </c>
      <c r="AC73" s="70"/>
      <c r="AD73" s="70"/>
      <c r="AE73" s="70"/>
      <c r="AF73" s="70"/>
      <c r="AG73" s="55">
        <v>0</v>
      </c>
      <c r="AH73" s="70"/>
      <c r="AI73" s="70"/>
      <c r="AJ73" s="70"/>
      <c r="AK73" s="70"/>
      <c r="AL73" s="55">
        <v>0</v>
      </c>
      <c r="AM73" s="70"/>
      <c r="AN73" s="70"/>
      <c r="AO73" s="70"/>
      <c r="AP73" s="70"/>
      <c r="AQ73" s="55">
        <v>27</v>
      </c>
    </row>
    <row r="74" spans="1:43" ht="26.25" customHeight="1">
      <c r="A74" s="160" t="s">
        <v>314</v>
      </c>
      <c r="W74" s="270" t="s">
        <v>38</v>
      </c>
      <c r="AB74" s="159">
        <v>-579</v>
      </c>
      <c r="AC74" s="70" t="s">
        <v>38</v>
      </c>
      <c r="AD74" s="70" t="s">
        <v>38</v>
      </c>
      <c r="AE74" s="70" t="s">
        <v>38</v>
      </c>
      <c r="AF74" s="70" t="s">
        <v>38</v>
      </c>
      <c r="AG74" s="159">
        <v>-539</v>
      </c>
      <c r="AH74" s="70" t="s">
        <v>38</v>
      </c>
      <c r="AI74" s="70" t="s">
        <v>38</v>
      </c>
      <c r="AJ74" s="70" t="s">
        <v>38</v>
      </c>
      <c r="AK74" s="70" t="s">
        <v>38</v>
      </c>
      <c r="AL74" s="159">
        <v>-548</v>
      </c>
      <c r="AM74" s="70" t="s">
        <v>38</v>
      </c>
      <c r="AN74" s="70" t="s">
        <v>38</v>
      </c>
      <c r="AO74" s="70" t="s">
        <v>38</v>
      </c>
      <c r="AP74" s="70" t="s">
        <v>38</v>
      </c>
      <c r="AQ74" s="159">
        <v>-555</v>
      </c>
    </row>
    <row r="75" spans="1:43">
      <c r="A75" s="328" t="s">
        <v>315</v>
      </c>
      <c r="B75" s="316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28"/>
      <c r="X75" s="316"/>
      <c r="Y75" s="316"/>
      <c r="Z75" s="316"/>
      <c r="AA75" s="316"/>
      <c r="AB75" s="332">
        <f>SUM(AB72:AB74)</f>
        <v>1992</v>
      </c>
      <c r="AC75" s="316"/>
      <c r="AD75" s="316"/>
      <c r="AE75" s="316"/>
      <c r="AF75" s="316"/>
      <c r="AG75" s="332">
        <f>SUM(AG72:AG74)</f>
        <v>1933</v>
      </c>
      <c r="AH75" s="316"/>
      <c r="AI75" s="316"/>
      <c r="AJ75" s="316"/>
      <c r="AK75" s="316"/>
      <c r="AL75" s="332">
        <f>SUM(AL72:AL74)</f>
        <v>1891</v>
      </c>
      <c r="AM75" s="316"/>
      <c r="AN75" s="316"/>
      <c r="AO75" s="316"/>
      <c r="AP75" s="316"/>
      <c r="AQ75" s="332">
        <f>SUM(AQ72:AQ74)</f>
        <v>1882</v>
      </c>
    </row>
    <row r="76" spans="1:43" ht="2.25" customHeight="1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</row>
    <row r="197" spans="44:44">
      <c r="AR197">
        <v>59</v>
      </c>
    </row>
    <row r="230" spans="1:1">
      <c r="A230" s="32"/>
    </row>
    <row r="340" spans="57:57">
      <c r="BE340">
        <f>BE337-260</f>
        <v>-260</v>
      </c>
    </row>
    <row r="361" spans="55:55">
      <c r="BC361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3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N24"/>
  <sheetViews>
    <sheetView showGridLines="0" tabSelected="1" workbookViewId="0">
      <pane xSplit="1" ySplit="7" topLeftCell="B8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40.85546875" customWidth="1"/>
    <col min="2" max="7" width="15.7109375" hidden="1" customWidth="1"/>
    <col min="8" max="8" width="12.42578125" hidden="1" customWidth="1"/>
    <col min="9" max="9" width="1" hidden="1" customWidth="1"/>
    <col min="10" max="16" width="15.7109375" hidden="1" customWidth="1"/>
    <col min="17" max="17" width="1.28515625" hidden="1" customWidth="1"/>
    <col min="18" max="24" width="15.7109375" hidden="1" customWidth="1"/>
    <col min="25" max="25" width="1.5703125" hidden="1" customWidth="1"/>
    <col min="26" max="26" width="14.5703125" hidden="1" customWidth="1"/>
    <col min="27" max="27" width="10.42578125" hidden="1" customWidth="1"/>
    <col min="28" max="28" width="14.42578125" hidden="1" customWidth="1"/>
    <col min="29" max="29" width="15.7109375" hidden="1" customWidth="1"/>
    <col min="30" max="30" width="9.85546875" hidden="1" customWidth="1"/>
    <col min="31" max="31" width="14.42578125" hidden="1" customWidth="1"/>
    <col min="32" max="32" width="17.42578125" hidden="1" customWidth="1"/>
    <col min="33" max="33" width="1.85546875" hidden="1" customWidth="1"/>
    <col min="34" max="34" width="14" customWidth="1"/>
    <col min="35" max="35" width="13.5703125" customWidth="1"/>
    <col min="36" max="36" width="13.85546875" customWidth="1"/>
    <col min="37" max="37" width="16.140625" customWidth="1"/>
    <col min="38" max="38" width="11" customWidth="1"/>
    <col min="39" max="39" width="14.140625" customWidth="1"/>
    <col min="40" max="40" width="16.42578125" customWidth="1"/>
  </cols>
  <sheetData>
    <row r="1" spans="1:4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4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0">
      <c r="A3" s="30"/>
      <c r="B3" s="45" t="s">
        <v>339</v>
      </c>
      <c r="C3" s="45" t="s">
        <v>340</v>
      </c>
      <c r="D3" s="45" t="s">
        <v>341</v>
      </c>
      <c r="E3" s="45" t="s">
        <v>351</v>
      </c>
      <c r="F3" s="45" t="s">
        <v>342</v>
      </c>
      <c r="G3" s="45" t="s">
        <v>343</v>
      </c>
      <c r="H3" s="45" t="s">
        <v>353</v>
      </c>
      <c r="I3" s="3"/>
      <c r="J3" s="45" t="s">
        <v>339</v>
      </c>
      <c r="K3" s="45" t="s">
        <v>340</v>
      </c>
      <c r="L3" s="45" t="s">
        <v>341</v>
      </c>
      <c r="M3" s="45" t="s">
        <v>351</v>
      </c>
      <c r="N3" s="45" t="s">
        <v>342</v>
      </c>
      <c r="O3" s="45" t="s">
        <v>343</v>
      </c>
      <c r="P3" s="45" t="s">
        <v>353</v>
      </c>
      <c r="R3" s="45" t="s">
        <v>339</v>
      </c>
      <c r="S3" s="45" t="s">
        <v>340</v>
      </c>
      <c r="T3" s="45" t="s">
        <v>341</v>
      </c>
      <c r="U3" s="45" t="s">
        <v>351</v>
      </c>
      <c r="V3" s="45" t="s">
        <v>342</v>
      </c>
      <c r="W3" s="45" t="s">
        <v>343</v>
      </c>
      <c r="X3" s="45" t="s">
        <v>353</v>
      </c>
      <c r="Z3" s="45" t="s">
        <v>339</v>
      </c>
      <c r="AA3" s="45" t="s">
        <v>340</v>
      </c>
      <c r="AB3" s="45" t="s">
        <v>341</v>
      </c>
      <c r="AC3" s="45" t="s">
        <v>351</v>
      </c>
      <c r="AD3" s="45" t="s">
        <v>342</v>
      </c>
      <c r="AE3" s="45" t="s">
        <v>343</v>
      </c>
      <c r="AF3" s="45" t="s">
        <v>353</v>
      </c>
      <c r="AH3" s="45" t="s">
        <v>339</v>
      </c>
      <c r="AI3" s="45" t="s">
        <v>340</v>
      </c>
      <c r="AJ3" s="45" t="s">
        <v>341</v>
      </c>
      <c r="AK3" s="45" t="s">
        <v>351</v>
      </c>
      <c r="AL3" s="45" t="s">
        <v>342</v>
      </c>
      <c r="AM3" s="45" t="s">
        <v>343</v>
      </c>
      <c r="AN3" s="45" t="s">
        <v>353</v>
      </c>
    </row>
    <row r="4" spans="1:40">
      <c r="A4" s="237" t="s">
        <v>259</v>
      </c>
      <c r="B4" s="45" t="s">
        <v>352</v>
      </c>
      <c r="C4" s="45" t="s">
        <v>352</v>
      </c>
      <c r="D4" s="45" t="s">
        <v>352</v>
      </c>
      <c r="E4" s="45" t="s">
        <v>352</v>
      </c>
      <c r="F4" s="45" t="s">
        <v>352</v>
      </c>
      <c r="G4" s="45" t="s">
        <v>352</v>
      </c>
      <c r="H4" s="45" t="s">
        <v>352</v>
      </c>
      <c r="I4" s="3"/>
      <c r="J4" s="45" t="s">
        <v>355</v>
      </c>
      <c r="K4" s="45" t="s">
        <v>355</v>
      </c>
      <c r="L4" s="45" t="s">
        <v>355</v>
      </c>
      <c r="M4" s="45" t="s">
        <v>355</v>
      </c>
      <c r="N4" s="45" t="s">
        <v>355</v>
      </c>
      <c r="O4" s="45" t="s">
        <v>355</v>
      </c>
      <c r="P4" s="45" t="s">
        <v>355</v>
      </c>
      <c r="R4" s="45" t="s">
        <v>379</v>
      </c>
      <c r="S4" s="45" t="s">
        <v>379</v>
      </c>
      <c r="T4" s="45" t="s">
        <v>379</v>
      </c>
      <c r="U4" s="45" t="s">
        <v>379</v>
      </c>
      <c r="V4" s="45" t="s">
        <v>379</v>
      </c>
      <c r="W4" s="45" t="s">
        <v>379</v>
      </c>
      <c r="X4" s="45" t="s">
        <v>379</v>
      </c>
      <c r="Z4" s="45" t="s">
        <v>382</v>
      </c>
      <c r="AA4" s="45" t="s">
        <v>382</v>
      </c>
      <c r="AB4" s="45" t="s">
        <v>382</v>
      </c>
      <c r="AC4" s="45" t="s">
        <v>382</v>
      </c>
      <c r="AD4" s="45" t="s">
        <v>382</v>
      </c>
      <c r="AE4" s="45" t="s">
        <v>382</v>
      </c>
      <c r="AF4" s="45" t="s">
        <v>382</v>
      </c>
      <c r="AH4" s="45" t="s">
        <v>392</v>
      </c>
      <c r="AI4" s="45" t="s">
        <v>392</v>
      </c>
      <c r="AJ4" s="45" t="s">
        <v>392</v>
      </c>
      <c r="AK4" s="45" t="s">
        <v>392</v>
      </c>
      <c r="AL4" s="45" t="s">
        <v>392</v>
      </c>
      <c r="AM4" s="45" t="s">
        <v>392</v>
      </c>
      <c r="AN4" s="45" t="s">
        <v>392</v>
      </c>
    </row>
    <row r="5" spans="1:40" ht="2.25" customHeight="1">
      <c r="A5" s="42"/>
      <c r="B5" s="43"/>
      <c r="C5" s="43"/>
      <c r="D5" s="43"/>
      <c r="E5" s="43"/>
      <c r="F5" s="43"/>
      <c r="G5" s="43"/>
      <c r="H5" s="43"/>
      <c r="I5" s="3"/>
      <c r="J5" s="43"/>
      <c r="K5" s="43"/>
      <c r="L5" s="43"/>
      <c r="M5" s="43"/>
      <c r="N5" s="43"/>
      <c r="O5" s="43"/>
      <c r="P5" s="43"/>
      <c r="R5" s="43"/>
      <c r="S5" s="43"/>
      <c r="T5" s="43"/>
      <c r="U5" s="43"/>
      <c r="V5" s="43"/>
      <c r="W5" s="43"/>
      <c r="X5" s="43"/>
      <c r="Z5" s="43"/>
      <c r="AA5" s="43"/>
      <c r="AB5" s="43"/>
      <c r="AC5" s="43"/>
      <c r="AD5" s="43"/>
      <c r="AE5" s="43"/>
      <c r="AF5" s="43"/>
      <c r="AH5" s="43"/>
      <c r="AI5" s="43"/>
      <c r="AJ5" s="43"/>
      <c r="AK5" s="43"/>
      <c r="AL5" s="43"/>
      <c r="AM5" s="43"/>
      <c r="AN5" s="43"/>
    </row>
    <row r="6" spans="1:40" ht="20.25">
      <c r="A6" s="33" t="s">
        <v>338</v>
      </c>
      <c r="B6" s="20"/>
      <c r="C6" s="20"/>
      <c r="D6" s="20"/>
      <c r="E6" s="20"/>
      <c r="F6" s="20"/>
      <c r="G6" s="20"/>
      <c r="H6" s="20"/>
      <c r="I6" s="3"/>
      <c r="J6" s="20"/>
      <c r="K6" s="20"/>
      <c r="L6" s="20"/>
      <c r="M6" s="20"/>
      <c r="N6" s="20"/>
      <c r="O6" s="20"/>
      <c r="P6" s="20"/>
      <c r="R6" s="20"/>
      <c r="S6" s="20"/>
      <c r="T6" s="20"/>
      <c r="U6" s="20"/>
      <c r="V6" s="20"/>
      <c r="W6" s="20"/>
      <c r="X6" s="20"/>
      <c r="Z6" s="20"/>
      <c r="AA6" s="20"/>
      <c r="AB6" s="20"/>
      <c r="AC6" s="20"/>
      <c r="AD6" s="20"/>
      <c r="AE6" s="20"/>
      <c r="AF6" s="20"/>
      <c r="AH6" s="20"/>
      <c r="AI6" s="20"/>
      <c r="AJ6" s="20"/>
      <c r="AK6" s="20"/>
      <c r="AL6" s="20"/>
      <c r="AM6" s="20"/>
      <c r="AN6" s="20"/>
    </row>
    <row r="7" spans="1:40">
      <c r="A7" s="53"/>
      <c r="B7" s="53"/>
      <c r="C7" s="53"/>
      <c r="D7" s="53"/>
      <c r="E7" s="53"/>
      <c r="F7" s="53"/>
      <c r="G7" s="53"/>
      <c r="H7" s="53"/>
      <c r="I7" s="3"/>
      <c r="J7" s="53"/>
      <c r="K7" s="53"/>
      <c r="L7" s="53"/>
      <c r="M7" s="53"/>
      <c r="N7" s="53"/>
      <c r="O7" s="53"/>
      <c r="P7" s="53"/>
      <c r="R7" s="53"/>
      <c r="S7" s="53"/>
      <c r="T7" s="53"/>
      <c r="U7" s="53"/>
      <c r="V7" s="53"/>
      <c r="W7" s="53"/>
      <c r="X7" s="53"/>
      <c r="Z7" s="53"/>
      <c r="AA7" s="53"/>
      <c r="AB7" s="53"/>
      <c r="AC7" s="53"/>
      <c r="AD7" s="53"/>
      <c r="AE7" s="53"/>
      <c r="AF7" s="53"/>
      <c r="AH7" s="53"/>
      <c r="AI7" s="53"/>
      <c r="AJ7" s="53"/>
      <c r="AK7" s="53"/>
      <c r="AL7" s="53"/>
      <c r="AM7" s="53"/>
      <c r="AN7" s="53"/>
    </row>
    <row r="8" spans="1:40" ht="17.25" customHeight="1">
      <c r="A8" s="2" t="s">
        <v>344</v>
      </c>
      <c r="B8" s="268">
        <v>3813</v>
      </c>
      <c r="C8" s="268">
        <v>2127</v>
      </c>
      <c r="D8" s="268">
        <v>1217</v>
      </c>
      <c r="E8" s="268">
        <v>1286</v>
      </c>
      <c r="F8" s="268">
        <v>280</v>
      </c>
      <c r="G8" s="66">
        <v>0</v>
      </c>
      <c r="H8" s="232">
        <f>SUM(B8:G8)</f>
        <v>8723</v>
      </c>
      <c r="I8" s="232"/>
      <c r="J8" s="268">
        <v>969</v>
      </c>
      <c r="K8" s="268">
        <v>560</v>
      </c>
      <c r="L8" s="268">
        <v>299</v>
      </c>
      <c r="M8" s="268">
        <v>315</v>
      </c>
      <c r="N8" s="268">
        <v>78</v>
      </c>
      <c r="O8" s="66">
        <v>0</v>
      </c>
      <c r="P8" s="284">
        <f>SUM(J8:O8)</f>
        <v>2221</v>
      </c>
      <c r="R8" s="268">
        <v>954</v>
      </c>
      <c r="S8" s="268">
        <v>564</v>
      </c>
      <c r="T8" s="268">
        <v>299</v>
      </c>
      <c r="U8" s="268">
        <v>315</v>
      </c>
      <c r="V8" s="268">
        <v>68</v>
      </c>
      <c r="W8" s="66">
        <v>0</v>
      </c>
      <c r="X8" s="284">
        <f>SUM(R8:W8)</f>
        <v>2200</v>
      </c>
      <c r="Z8" s="268">
        <v>954</v>
      </c>
      <c r="AA8" s="268">
        <v>531</v>
      </c>
      <c r="AB8" s="268">
        <v>273</v>
      </c>
      <c r="AC8" s="268">
        <v>318</v>
      </c>
      <c r="AD8" s="268">
        <v>66</v>
      </c>
      <c r="AE8" s="66">
        <v>0</v>
      </c>
      <c r="AF8" s="284">
        <f>SUM(Z8:AE8)</f>
        <v>2142</v>
      </c>
      <c r="AH8" s="268">
        <v>3845</v>
      </c>
      <c r="AI8" s="268">
        <v>2249</v>
      </c>
      <c r="AJ8" s="268">
        <v>1186</v>
      </c>
      <c r="AK8" s="268">
        <v>1270</v>
      </c>
      <c r="AL8" s="268">
        <v>271</v>
      </c>
      <c r="AM8" s="66">
        <v>0</v>
      </c>
      <c r="AN8" s="284">
        <f>SUM(AH8:AM8)</f>
        <v>8821</v>
      </c>
    </row>
    <row r="9" spans="1:40" ht="20.25" customHeight="1">
      <c r="A9" s="2" t="s">
        <v>345</v>
      </c>
      <c r="B9" s="268">
        <v>346</v>
      </c>
      <c r="C9" s="268">
        <v>59</v>
      </c>
      <c r="D9" s="268">
        <v>54</v>
      </c>
      <c r="E9" s="268">
        <v>1</v>
      </c>
      <c r="F9" s="268">
        <v>6</v>
      </c>
      <c r="G9" s="165">
        <v>-466</v>
      </c>
      <c r="H9" s="232">
        <f>SUM(B9:G9)</f>
        <v>0</v>
      </c>
      <c r="I9" s="232"/>
      <c r="J9" s="268">
        <v>85</v>
      </c>
      <c r="K9" s="268">
        <v>10</v>
      </c>
      <c r="L9" s="268">
        <v>13</v>
      </c>
      <c r="M9" s="268">
        <v>0</v>
      </c>
      <c r="N9" s="268">
        <v>1</v>
      </c>
      <c r="O9" s="165">
        <f>-SUM(J9:N9)</f>
        <v>-109</v>
      </c>
      <c r="P9" s="232">
        <f>SUM(J9:O9)</f>
        <v>0</v>
      </c>
      <c r="R9" s="268">
        <v>85</v>
      </c>
      <c r="S9" s="268">
        <v>12</v>
      </c>
      <c r="T9" s="268">
        <v>11</v>
      </c>
      <c r="U9" s="268">
        <v>0</v>
      </c>
      <c r="V9" s="268">
        <v>2</v>
      </c>
      <c r="W9" s="165">
        <f>-SUM(R9:V9)</f>
        <v>-110</v>
      </c>
      <c r="X9" s="232">
        <f>SUM(R9:W9)</f>
        <v>0</v>
      </c>
      <c r="Z9" s="268">
        <v>83</v>
      </c>
      <c r="AA9" s="268">
        <v>10</v>
      </c>
      <c r="AB9" s="268">
        <v>14</v>
      </c>
      <c r="AC9" s="268">
        <v>0</v>
      </c>
      <c r="AD9" s="268">
        <v>2</v>
      </c>
      <c r="AE9" s="165">
        <f>-SUM(Z9:AD9)</f>
        <v>-109</v>
      </c>
      <c r="AF9" s="232">
        <f>SUM(Z9:AE9)</f>
        <v>0</v>
      </c>
      <c r="AG9" s="232"/>
      <c r="AH9" s="268">
        <v>337</v>
      </c>
      <c r="AI9" s="268">
        <v>40</v>
      </c>
      <c r="AJ9" s="268">
        <v>51</v>
      </c>
      <c r="AK9" s="268">
        <v>0</v>
      </c>
      <c r="AL9" s="268">
        <v>6</v>
      </c>
      <c r="AM9" s="165">
        <f>-SUM(AH9:AL9)</f>
        <v>-434</v>
      </c>
      <c r="AN9" s="232">
        <f>SUM(AH9:AM9)</f>
        <v>0</v>
      </c>
    </row>
    <row r="10" spans="1:40">
      <c r="A10" s="328" t="s">
        <v>346</v>
      </c>
      <c r="B10" s="332">
        <f>B8+B9</f>
        <v>4159</v>
      </c>
      <c r="C10" s="332">
        <f t="shared" ref="C10:H10" si="0">C8+C9</f>
        <v>2186</v>
      </c>
      <c r="D10" s="332">
        <f t="shared" si="0"/>
        <v>1271</v>
      </c>
      <c r="E10" s="332">
        <f t="shared" si="0"/>
        <v>1287</v>
      </c>
      <c r="F10" s="332">
        <f t="shared" si="0"/>
        <v>286</v>
      </c>
      <c r="G10" s="333">
        <f t="shared" si="0"/>
        <v>-466</v>
      </c>
      <c r="H10" s="332">
        <f t="shared" si="0"/>
        <v>8723</v>
      </c>
      <c r="I10" s="332"/>
      <c r="J10" s="332">
        <f t="shared" ref="J10:P10" si="1">J8+J9</f>
        <v>1054</v>
      </c>
      <c r="K10" s="332">
        <f t="shared" si="1"/>
        <v>570</v>
      </c>
      <c r="L10" s="332">
        <f t="shared" si="1"/>
        <v>312</v>
      </c>
      <c r="M10" s="332">
        <f t="shared" si="1"/>
        <v>315</v>
      </c>
      <c r="N10" s="332">
        <f t="shared" si="1"/>
        <v>79</v>
      </c>
      <c r="O10" s="333">
        <f t="shared" si="1"/>
        <v>-109</v>
      </c>
      <c r="P10" s="332">
        <f t="shared" si="1"/>
        <v>2221</v>
      </c>
      <c r="Q10" s="334"/>
      <c r="R10" s="332">
        <f>R8+R9</f>
        <v>1039</v>
      </c>
      <c r="S10" s="332">
        <f t="shared" ref="S10:X10" si="2">S8+S9</f>
        <v>576</v>
      </c>
      <c r="T10" s="332">
        <f t="shared" si="2"/>
        <v>310</v>
      </c>
      <c r="U10" s="332">
        <f t="shared" si="2"/>
        <v>315</v>
      </c>
      <c r="V10" s="332">
        <f t="shared" si="2"/>
        <v>70</v>
      </c>
      <c r="W10" s="333">
        <f t="shared" si="2"/>
        <v>-110</v>
      </c>
      <c r="X10" s="332">
        <f t="shared" si="2"/>
        <v>2200</v>
      </c>
      <c r="Y10" s="334"/>
      <c r="Z10" s="332">
        <f>Z8+Z9</f>
        <v>1037</v>
      </c>
      <c r="AA10" s="332">
        <f t="shared" ref="AA10:AF10" si="3">AA8+AA9</f>
        <v>541</v>
      </c>
      <c r="AB10" s="332">
        <f t="shared" si="3"/>
        <v>287</v>
      </c>
      <c r="AC10" s="332">
        <f t="shared" si="3"/>
        <v>318</v>
      </c>
      <c r="AD10" s="332">
        <f t="shared" si="3"/>
        <v>68</v>
      </c>
      <c r="AE10" s="333">
        <f t="shared" si="3"/>
        <v>-109</v>
      </c>
      <c r="AF10" s="332">
        <f t="shared" si="3"/>
        <v>2142</v>
      </c>
      <c r="AG10" s="332"/>
      <c r="AH10" s="332">
        <f>AH8+AH9</f>
        <v>4182</v>
      </c>
      <c r="AI10" s="332">
        <f t="shared" ref="AI10:AN10" si="4">AI8+AI9</f>
        <v>2289</v>
      </c>
      <c r="AJ10" s="332">
        <f t="shared" si="4"/>
        <v>1237</v>
      </c>
      <c r="AK10" s="332">
        <f t="shared" si="4"/>
        <v>1270</v>
      </c>
      <c r="AL10" s="332">
        <f t="shared" si="4"/>
        <v>277</v>
      </c>
      <c r="AM10" s="333">
        <f t="shared" si="4"/>
        <v>-434</v>
      </c>
      <c r="AN10" s="332">
        <f t="shared" si="4"/>
        <v>8821</v>
      </c>
    </row>
    <row r="11" spans="1:40">
      <c r="A11" s="2"/>
      <c r="B11" s="268"/>
      <c r="C11" s="268"/>
      <c r="D11" s="268"/>
      <c r="E11" s="268"/>
      <c r="F11" s="268"/>
      <c r="G11" s="268"/>
      <c r="J11" s="268"/>
      <c r="K11" s="268"/>
      <c r="L11" s="268"/>
      <c r="M11" s="268"/>
      <c r="N11" s="268"/>
      <c r="O11" s="268"/>
      <c r="R11" s="268"/>
      <c r="S11" s="268"/>
      <c r="T11" s="268"/>
      <c r="U11" s="268"/>
      <c r="V11" s="268"/>
      <c r="W11" s="268"/>
      <c r="Z11" s="268"/>
      <c r="AA11" s="268"/>
      <c r="AB11" s="268"/>
      <c r="AC11" s="268"/>
      <c r="AD11" s="268"/>
      <c r="AE11" s="268"/>
      <c r="AH11" s="268"/>
      <c r="AI11" s="268"/>
      <c r="AJ11" s="268"/>
      <c r="AK11" s="268"/>
      <c r="AL11" s="268"/>
      <c r="AM11" s="268"/>
    </row>
    <row r="12" spans="1:40">
      <c r="A12" s="2" t="s">
        <v>347</v>
      </c>
      <c r="B12" s="268">
        <v>877</v>
      </c>
      <c r="C12" s="268">
        <v>599</v>
      </c>
      <c r="D12" s="268">
        <v>149</v>
      </c>
      <c r="E12" s="268">
        <v>310</v>
      </c>
      <c r="F12" s="268">
        <v>14</v>
      </c>
      <c r="G12" s="165">
        <v>-112</v>
      </c>
      <c r="H12" s="284">
        <f>SUM(B12:G12)</f>
        <v>1837</v>
      </c>
      <c r="I12" s="232"/>
      <c r="J12" s="268">
        <v>223</v>
      </c>
      <c r="K12" s="268">
        <v>142</v>
      </c>
      <c r="L12" s="268">
        <v>49</v>
      </c>
      <c r="M12" s="268">
        <v>75</v>
      </c>
      <c r="N12" s="268">
        <v>1</v>
      </c>
      <c r="O12" s="165">
        <v>-14</v>
      </c>
      <c r="P12" s="284">
        <f>SUM(J12:O12)</f>
        <v>476</v>
      </c>
      <c r="R12" s="268">
        <v>231</v>
      </c>
      <c r="S12" s="268">
        <v>144</v>
      </c>
      <c r="T12" s="268">
        <v>46</v>
      </c>
      <c r="U12" s="268">
        <v>75</v>
      </c>
      <c r="V12" s="268">
        <v>1</v>
      </c>
      <c r="W12" s="165">
        <v>-32</v>
      </c>
      <c r="X12" s="284">
        <f>SUM(R12:W12)</f>
        <v>465</v>
      </c>
      <c r="Z12" s="268">
        <v>239</v>
      </c>
      <c r="AA12" s="268">
        <v>144</v>
      </c>
      <c r="AB12" s="268">
        <v>38</v>
      </c>
      <c r="AC12" s="268">
        <v>77</v>
      </c>
      <c r="AD12" s="268">
        <v>1</v>
      </c>
      <c r="AE12" s="165">
        <v>-33</v>
      </c>
      <c r="AF12" s="284">
        <f>SUM(Z12:AE12)</f>
        <v>466</v>
      </c>
      <c r="AG12" s="284"/>
      <c r="AH12" s="268">
        <v>938</v>
      </c>
      <c r="AI12" s="268">
        <v>577</v>
      </c>
      <c r="AJ12" s="268">
        <v>173</v>
      </c>
      <c r="AK12" s="268">
        <v>292</v>
      </c>
      <c r="AL12" s="268">
        <v>4</v>
      </c>
      <c r="AM12" s="165">
        <v>-95</v>
      </c>
      <c r="AN12" s="284">
        <f>SUM(AH12:AM12)</f>
        <v>1889</v>
      </c>
    </row>
    <row r="13" spans="1:40">
      <c r="A13" s="2"/>
      <c r="B13" s="268"/>
      <c r="C13" s="268"/>
      <c r="D13" s="268"/>
      <c r="E13" s="268"/>
      <c r="F13" s="268"/>
      <c r="G13" s="165"/>
      <c r="H13" s="284"/>
      <c r="I13" s="232"/>
      <c r="J13" s="268"/>
      <c r="K13" s="268"/>
      <c r="L13" s="268"/>
      <c r="M13" s="268"/>
      <c r="N13" s="268"/>
      <c r="O13" s="165"/>
      <c r="P13" s="232"/>
      <c r="R13" s="268"/>
      <c r="S13" s="268"/>
      <c r="T13" s="268"/>
      <c r="U13" s="268"/>
      <c r="V13" s="268"/>
      <c r="W13" s="165"/>
      <c r="X13" s="232"/>
      <c r="Z13" s="268"/>
      <c r="AA13" s="268"/>
      <c r="AB13" s="268"/>
      <c r="AC13" s="268"/>
      <c r="AD13" s="268"/>
      <c r="AE13" s="165"/>
      <c r="AF13" s="232"/>
      <c r="AG13" s="232"/>
      <c r="AH13" s="268"/>
      <c r="AI13" s="268"/>
      <c r="AJ13" s="268"/>
      <c r="AK13" s="268"/>
      <c r="AL13" s="268"/>
      <c r="AM13" s="165"/>
      <c r="AN13" s="232"/>
    </row>
    <row r="14" spans="1:40">
      <c r="A14" s="328" t="s">
        <v>204</v>
      </c>
      <c r="B14" s="332">
        <v>1705</v>
      </c>
      <c r="C14" s="333">
        <v>-84</v>
      </c>
      <c r="D14" s="333">
        <v>-241</v>
      </c>
      <c r="E14" s="333">
        <v>-42</v>
      </c>
      <c r="F14" s="332">
        <v>44</v>
      </c>
      <c r="G14" s="332">
        <v>73</v>
      </c>
      <c r="H14" s="332">
        <f>SUM(B14:G14)</f>
        <v>1455</v>
      </c>
      <c r="I14" s="332"/>
      <c r="J14" s="332">
        <v>593</v>
      </c>
      <c r="K14" s="333">
        <v>-3</v>
      </c>
      <c r="L14" s="333">
        <v>-8</v>
      </c>
      <c r="M14" s="333">
        <v>-18</v>
      </c>
      <c r="N14" s="332">
        <v>10</v>
      </c>
      <c r="O14" s="332">
        <v>12</v>
      </c>
      <c r="P14" s="332">
        <f>SUM(J14:O14)</f>
        <v>586</v>
      </c>
      <c r="Q14" s="334"/>
      <c r="R14" s="332">
        <v>407</v>
      </c>
      <c r="S14" s="333">
        <v>15</v>
      </c>
      <c r="T14" s="333">
        <v>16</v>
      </c>
      <c r="U14" s="333">
        <v>-3</v>
      </c>
      <c r="V14" s="332">
        <v>9</v>
      </c>
      <c r="W14" s="332">
        <v>25</v>
      </c>
      <c r="X14" s="332">
        <f>SUM(R14:W14)</f>
        <v>469</v>
      </c>
      <c r="Y14" s="334"/>
      <c r="Z14" s="332">
        <v>390</v>
      </c>
      <c r="AA14" s="333">
        <v>22</v>
      </c>
      <c r="AB14" s="333">
        <v>13</v>
      </c>
      <c r="AC14" s="333">
        <v>-11</v>
      </c>
      <c r="AD14" s="332">
        <v>5</v>
      </c>
      <c r="AE14" s="332">
        <v>40</v>
      </c>
      <c r="AF14" s="332">
        <f>SUM(Z14:AE14)</f>
        <v>459</v>
      </c>
      <c r="AG14" s="332"/>
      <c r="AH14" s="332">
        <v>1748</v>
      </c>
      <c r="AI14" s="333">
        <v>42</v>
      </c>
      <c r="AJ14" s="333">
        <v>22</v>
      </c>
      <c r="AK14" s="333">
        <v>-41</v>
      </c>
      <c r="AL14" s="332">
        <v>27</v>
      </c>
      <c r="AM14" s="332">
        <v>72</v>
      </c>
      <c r="AN14" s="332">
        <f>SUM(AH14:AM14)</f>
        <v>1870</v>
      </c>
    </row>
    <row r="15" spans="1:40">
      <c r="A15" s="2"/>
      <c r="B15" s="268"/>
      <c r="C15" s="268"/>
      <c r="D15" s="268"/>
      <c r="E15" s="268"/>
      <c r="F15" s="268"/>
      <c r="G15" s="268"/>
      <c r="J15" s="268"/>
      <c r="K15" s="268"/>
      <c r="L15" s="268"/>
      <c r="M15" s="268"/>
      <c r="N15" s="268"/>
      <c r="O15" s="268"/>
      <c r="R15" s="268"/>
      <c r="S15" s="268"/>
      <c r="T15" s="166"/>
      <c r="U15" s="268"/>
      <c r="V15" s="268"/>
      <c r="W15" s="268"/>
      <c r="Z15" s="268"/>
      <c r="AA15" s="268"/>
      <c r="AB15" s="166"/>
      <c r="AC15" s="268"/>
      <c r="AD15" s="268"/>
      <c r="AE15" s="268"/>
      <c r="AH15" s="268"/>
      <c r="AI15" s="268"/>
      <c r="AJ15" s="166"/>
      <c r="AK15" s="268"/>
      <c r="AL15" s="268"/>
      <c r="AM15" s="268"/>
    </row>
    <row r="16" spans="1:40">
      <c r="A16" s="2" t="s">
        <v>348</v>
      </c>
      <c r="B16" s="268">
        <v>403</v>
      </c>
      <c r="C16" s="166">
        <v>-48</v>
      </c>
      <c r="D16" s="268">
        <v>2</v>
      </c>
      <c r="E16" s="268">
        <v>13</v>
      </c>
      <c r="F16" s="268">
        <v>1</v>
      </c>
      <c r="G16" s="66">
        <v>0</v>
      </c>
      <c r="H16" s="284">
        <f>SUM(B16:G16)</f>
        <v>371</v>
      </c>
      <c r="I16" s="232"/>
      <c r="J16" s="268">
        <v>68</v>
      </c>
      <c r="K16" s="166">
        <v>-10</v>
      </c>
      <c r="L16" s="268">
        <v>0</v>
      </c>
      <c r="M16" s="166">
        <v>-7</v>
      </c>
      <c r="N16" s="268">
        <v>0</v>
      </c>
      <c r="O16" s="66">
        <v>0</v>
      </c>
      <c r="P16" s="284">
        <f>SUM(J16:O16)</f>
        <v>51</v>
      </c>
      <c r="R16" s="268">
        <v>90</v>
      </c>
      <c r="S16" s="166">
        <v>-11</v>
      </c>
      <c r="T16" s="166">
        <v>1</v>
      </c>
      <c r="U16" s="166">
        <v>4</v>
      </c>
      <c r="V16" s="268">
        <v>0</v>
      </c>
      <c r="W16" s="268">
        <v>0</v>
      </c>
      <c r="X16" s="284">
        <f>SUM(R16:W16)</f>
        <v>84</v>
      </c>
      <c r="Z16" s="268">
        <v>110</v>
      </c>
      <c r="AA16" s="166">
        <v>-11</v>
      </c>
      <c r="AB16" s="268">
        <v>0</v>
      </c>
      <c r="AC16" s="166">
        <v>1</v>
      </c>
      <c r="AD16" s="268">
        <v>0</v>
      </c>
      <c r="AE16" s="268">
        <v>0</v>
      </c>
      <c r="AF16" s="284">
        <f>SUM(Z16:AE16)</f>
        <v>100</v>
      </c>
      <c r="AG16" s="284"/>
      <c r="AH16" s="268">
        <v>342</v>
      </c>
      <c r="AI16" s="166">
        <v>-42</v>
      </c>
      <c r="AJ16" s="268">
        <v>2</v>
      </c>
      <c r="AK16" s="166">
        <v>1</v>
      </c>
      <c r="AL16" s="268">
        <v>0</v>
      </c>
      <c r="AM16" s="166">
        <v>2</v>
      </c>
      <c r="AN16" s="284">
        <f>SUM(AH16:AM16)</f>
        <v>305</v>
      </c>
    </row>
    <row r="17" spans="1:40">
      <c r="A17" s="2"/>
      <c r="B17" s="268"/>
      <c r="C17" s="268"/>
      <c r="D17" s="268"/>
      <c r="E17" s="268"/>
      <c r="F17" s="268"/>
      <c r="G17" s="268"/>
      <c r="H17" s="2"/>
      <c r="J17" s="268"/>
      <c r="K17" s="268"/>
      <c r="L17" s="268"/>
      <c r="M17" s="268"/>
      <c r="N17" s="268"/>
      <c r="O17" s="268"/>
      <c r="R17" s="268"/>
      <c r="S17" s="268"/>
      <c r="T17" s="268"/>
      <c r="U17" s="268"/>
      <c r="V17" s="268"/>
      <c r="W17" s="268"/>
      <c r="Z17" s="268"/>
      <c r="AA17" s="268"/>
      <c r="AB17" s="268"/>
      <c r="AC17" s="268"/>
      <c r="AD17" s="268"/>
      <c r="AE17" s="268"/>
      <c r="AH17" s="268"/>
      <c r="AI17" s="268"/>
      <c r="AJ17" s="268"/>
      <c r="AK17" s="268"/>
      <c r="AL17" s="268"/>
      <c r="AM17" s="268"/>
    </row>
    <row r="18" spans="1:40">
      <c r="A18" s="328" t="s">
        <v>354</v>
      </c>
      <c r="B18" s="332">
        <f t="shared" ref="B18:G18" si="5">B14-B16</f>
        <v>1302</v>
      </c>
      <c r="C18" s="333">
        <f t="shared" si="5"/>
        <v>-36</v>
      </c>
      <c r="D18" s="333">
        <f t="shared" si="5"/>
        <v>-243</v>
      </c>
      <c r="E18" s="333">
        <f t="shared" si="5"/>
        <v>-55</v>
      </c>
      <c r="F18" s="332">
        <f t="shared" si="5"/>
        <v>43</v>
      </c>
      <c r="G18" s="332">
        <f t="shared" si="5"/>
        <v>73</v>
      </c>
      <c r="H18" s="332">
        <f>SUM(B18:G18)</f>
        <v>1084</v>
      </c>
      <c r="I18" s="332"/>
      <c r="J18" s="332">
        <f t="shared" ref="J18:O18" si="6">J14-J16</f>
        <v>525</v>
      </c>
      <c r="K18" s="333">
        <f t="shared" si="6"/>
        <v>7</v>
      </c>
      <c r="L18" s="333">
        <f t="shared" si="6"/>
        <v>-8</v>
      </c>
      <c r="M18" s="333">
        <f t="shared" si="6"/>
        <v>-11</v>
      </c>
      <c r="N18" s="332">
        <f t="shared" si="6"/>
        <v>10</v>
      </c>
      <c r="O18" s="332">
        <f t="shared" si="6"/>
        <v>12</v>
      </c>
      <c r="P18" s="332">
        <f>SUM(J18:O18)</f>
        <v>535</v>
      </c>
      <c r="Q18" s="334"/>
      <c r="R18" s="332">
        <f>R14-R16</f>
        <v>317</v>
      </c>
      <c r="S18" s="333">
        <f>S14-S16</f>
        <v>26</v>
      </c>
      <c r="T18" s="333">
        <v>15</v>
      </c>
      <c r="U18" s="333">
        <f>U14-U16</f>
        <v>-7</v>
      </c>
      <c r="V18" s="332">
        <f>V14-V16</f>
        <v>9</v>
      </c>
      <c r="W18" s="332">
        <f>W14-W16</f>
        <v>25</v>
      </c>
      <c r="X18" s="332">
        <f>SUM(R18:W18)</f>
        <v>385</v>
      </c>
      <c r="Y18" s="334"/>
      <c r="Z18" s="332">
        <f t="shared" ref="Z18:AE18" si="7">Z14-Z16</f>
        <v>280</v>
      </c>
      <c r="AA18" s="333">
        <f t="shared" si="7"/>
        <v>33</v>
      </c>
      <c r="AB18" s="333">
        <f t="shared" si="7"/>
        <v>13</v>
      </c>
      <c r="AC18" s="333">
        <f t="shared" si="7"/>
        <v>-12</v>
      </c>
      <c r="AD18" s="332">
        <f t="shared" si="7"/>
        <v>5</v>
      </c>
      <c r="AE18" s="332">
        <f t="shared" si="7"/>
        <v>40</v>
      </c>
      <c r="AF18" s="332">
        <f>SUM(Z18:AE18)</f>
        <v>359</v>
      </c>
      <c r="AG18" s="332"/>
      <c r="AH18" s="332">
        <f t="shared" ref="AH18:AM18" si="8">AH14-AH16</f>
        <v>1406</v>
      </c>
      <c r="AI18" s="333">
        <f t="shared" si="8"/>
        <v>84</v>
      </c>
      <c r="AJ18" s="333">
        <f t="shared" si="8"/>
        <v>20</v>
      </c>
      <c r="AK18" s="333">
        <f t="shared" si="8"/>
        <v>-42</v>
      </c>
      <c r="AL18" s="332">
        <f t="shared" si="8"/>
        <v>27</v>
      </c>
      <c r="AM18" s="332">
        <f t="shared" si="8"/>
        <v>70</v>
      </c>
      <c r="AN18" s="332">
        <f>SUM(AH18:AM18)</f>
        <v>1565</v>
      </c>
    </row>
    <row r="19" spans="1:40">
      <c r="A19" s="2"/>
      <c r="B19" s="268"/>
      <c r="C19" s="268"/>
      <c r="D19" s="268"/>
      <c r="E19" s="268"/>
      <c r="F19" s="268"/>
      <c r="G19" s="268"/>
      <c r="H19" s="2"/>
      <c r="J19" s="268"/>
      <c r="K19" s="268"/>
      <c r="L19" s="268"/>
      <c r="M19" s="268"/>
      <c r="N19" s="268"/>
      <c r="O19" s="268"/>
      <c r="R19" s="268"/>
      <c r="S19" s="268"/>
      <c r="T19" s="268"/>
      <c r="U19" s="268"/>
      <c r="V19" s="268"/>
      <c r="W19" s="268"/>
      <c r="Z19" s="268"/>
      <c r="AA19" s="268"/>
      <c r="AB19" s="268"/>
      <c r="AC19" s="268"/>
      <c r="AD19" s="268"/>
      <c r="AE19" s="268"/>
      <c r="AH19" s="268"/>
      <c r="AI19" s="268"/>
      <c r="AJ19" s="268"/>
      <c r="AK19" s="268"/>
      <c r="AL19" s="268"/>
      <c r="AM19" s="268"/>
    </row>
    <row r="20" spans="1:40">
      <c r="A20" s="2" t="s">
        <v>349</v>
      </c>
      <c r="B20" s="268">
        <v>262</v>
      </c>
      <c r="C20" s="165">
        <v>-11</v>
      </c>
      <c r="D20" s="268">
        <v>32</v>
      </c>
      <c r="E20" s="268">
        <v>2</v>
      </c>
      <c r="F20" s="268">
        <v>4</v>
      </c>
      <c r="G20" s="165">
        <v>-1</v>
      </c>
      <c r="H20" s="284">
        <f>SUM(B20:G20)</f>
        <v>288</v>
      </c>
      <c r="I20" s="232"/>
      <c r="J20" s="268">
        <v>125</v>
      </c>
      <c r="K20" s="165">
        <v>-1</v>
      </c>
      <c r="L20" s="268">
        <v>0</v>
      </c>
      <c r="M20" s="268">
        <v>1</v>
      </c>
      <c r="N20" s="268">
        <v>2</v>
      </c>
      <c r="O20" s="66">
        <v>0</v>
      </c>
      <c r="P20" s="284">
        <f>SUM(J20:O20)</f>
        <v>127</v>
      </c>
      <c r="R20" s="268">
        <v>79</v>
      </c>
      <c r="S20" s="165">
        <v>6</v>
      </c>
      <c r="T20" s="268">
        <v>4</v>
      </c>
      <c r="U20" s="268">
        <v>0</v>
      </c>
      <c r="V20" s="268">
        <v>2</v>
      </c>
      <c r="W20" s="268">
        <v>0</v>
      </c>
      <c r="X20" s="284">
        <f>SUM(R20:W20)</f>
        <v>91</v>
      </c>
      <c r="Z20" s="268">
        <v>61</v>
      </c>
      <c r="AA20" s="165">
        <v>10</v>
      </c>
      <c r="AB20" s="268">
        <v>3</v>
      </c>
      <c r="AC20" s="268">
        <v>0</v>
      </c>
      <c r="AD20" s="268">
        <v>1</v>
      </c>
      <c r="AE20" s="268">
        <v>0</v>
      </c>
      <c r="AF20" s="284">
        <f>SUM(Z20:AE20)</f>
        <v>75</v>
      </c>
      <c r="AG20" s="284"/>
      <c r="AH20" s="268">
        <v>343</v>
      </c>
      <c r="AI20" s="165">
        <v>20</v>
      </c>
      <c r="AJ20" s="268">
        <v>12</v>
      </c>
      <c r="AK20" s="268">
        <v>1</v>
      </c>
      <c r="AL20" s="268">
        <v>6</v>
      </c>
      <c r="AM20" s="268">
        <v>0</v>
      </c>
      <c r="AN20" s="284">
        <f>SUM(AH20:AM20)</f>
        <v>382</v>
      </c>
    </row>
    <row r="21" spans="1:40">
      <c r="A21" s="2"/>
      <c r="B21" s="268"/>
      <c r="C21" s="268"/>
      <c r="D21" s="268"/>
      <c r="E21" s="268"/>
      <c r="F21" s="268"/>
      <c r="G21" s="268"/>
      <c r="J21" s="268"/>
      <c r="K21" s="268"/>
      <c r="L21" s="268"/>
      <c r="M21" s="268"/>
      <c r="N21" s="268"/>
      <c r="O21" s="268"/>
      <c r="R21" s="268"/>
      <c r="S21" s="268"/>
      <c r="T21" s="268"/>
      <c r="U21" s="268"/>
      <c r="V21" s="268"/>
      <c r="W21" s="268"/>
      <c r="Z21" s="268"/>
      <c r="AA21" s="268"/>
      <c r="AB21" s="268"/>
      <c r="AC21" s="268"/>
      <c r="AD21" s="268"/>
      <c r="AE21" s="268"/>
      <c r="AH21" s="268"/>
      <c r="AI21" s="268"/>
      <c r="AJ21" s="268"/>
      <c r="AK21" s="268"/>
      <c r="AL21" s="268"/>
      <c r="AM21" s="268"/>
    </row>
    <row r="22" spans="1:40">
      <c r="A22" s="328" t="s">
        <v>350</v>
      </c>
      <c r="B22" s="332">
        <f t="shared" ref="B22:G22" si="9">B18-B20</f>
        <v>1040</v>
      </c>
      <c r="C22" s="333">
        <f t="shared" si="9"/>
        <v>-25</v>
      </c>
      <c r="D22" s="333">
        <f t="shared" si="9"/>
        <v>-275</v>
      </c>
      <c r="E22" s="333">
        <f t="shared" si="9"/>
        <v>-57</v>
      </c>
      <c r="F22" s="332">
        <f t="shared" si="9"/>
        <v>39</v>
      </c>
      <c r="G22" s="332">
        <f t="shared" si="9"/>
        <v>74</v>
      </c>
      <c r="H22" s="332">
        <f>SUM(B22:G22)</f>
        <v>796</v>
      </c>
      <c r="I22" s="332"/>
      <c r="J22" s="332">
        <f>J18-J20</f>
        <v>400</v>
      </c>
      <c r="K22" s="333">
        <f>K18-K20</f>
        <v>8</v>
      </c>
      <c r="L22" s="333">
        <f>L18-L20</f>
        <v>-8</v>
      </c>
      <c r="M22" s="333">
        <v>-12</v>
      </c>
      <c r="N22" s="332">
        <f>N18-N20</f>
        <v>8</v>
      </c>
      <c r="O22" s="332">
        <f>O18-O20</f>
        <v>12</v>
      </c>
      <c r="P22" s="332">
        <f>SUM(J22:O22)</f>
        <v>408</v>
      </c>
      <c r="Q22" s="334"/>
      <c r="R22" s="332">
        <f t="shared" ref="R22:W22" si="10">R18-R20</f>
        <v>238</v>
      </c>
      <c r="S22" s="333">
        <f t="shared" si="10"/>
        <v>20</v>
      </c>
      <c r="T22" s="333">
        <f t="shared" si="10"/>
        <v>11</v>
      </c>
      <c r="U22" s="333">
        <f t="shared" si="10"/>
        <v>-7</v>
      </c>
      <c r="V22" s="332">
        <f t="shared" si="10"/>
        <v>7</v>
      </c>
      <c r="W22" s="332">
        <f t="shared" si="10"/>
        <v>25</v>
      </c>
      <c r="X22" s="332">
        <f>SUM(R22:W22)</f>
        <v>294</v>
      </c>
      <c r="Y22" s="334"/>
      <c r="Z22" s="332">
        <f t="shared" ref="Z22:AE22" si="11">Z18-Z20</f>
        <v>219</v>
      </c>
      <c r="AA22" s="333">
        <f t="shared" si="11"/>
        <v>23</v>
      </c>
      <c r="AB22" s="333">
        <f t="shared" si="11"/>
        <v>10</v>
      </c>
      <c r="AC22" s="333">
        <f t="shared" si="11"/>
        <v>-12</v>
      </c>
      <c r="AD22" s="332">
        <f t="shared" si="11"/>
        <v>4</v>
      </c>
      <c r="AE22" s="332">
        <f t="shared" si="11"/>
        <v>40</v>
      </c>
      <c r="AF22" s="332">
        <f>SUM(Z22:AE22)</f>
        <v>284</v>
      </c>
      <c r="AG22" s="332"/>
      <c r="AH22" s="332">
        <f t="shared" ref="AH22:AM22" si="12">AH18-AH20</f>
        <v>1063</v>
      </c>
      <c r="AI22" s="333">
        <f t="shared" si="12"/>
        <v>64</v>
      </c>
      <c r="AJ22" s="333">
        <f t="shared" si="12"/>
        <v>8</v>
      </c>
      <c r="AK22" s="333">
        <f t="shared" si="12"/>
        <v>-43</v>
      </c>
      <c r="AL22" s="332">
        <f t="shared" si="12"/>
        <v>21</v>
      </c>
      <c r="AM22" s="332">
        <f t="shared" si="12"/>
        <v>70</v>
      </c>
      <c r="AN22" s="332">
        <f>SUM(AH22:AM22)</f>
        <v>1183</v>
      </c>
    </row>
    <row r="23" spans="1:40">
      <c r="A23" s="2"/>
    </row>
    <row r="24" spans="1:40">
      <c r="A24" s="2"/>
    </row>
  </sheetData>
  <pageMargins left="0.39370078740157483" right="0.39370078740157483" top="0.74803149606299213" bottom="0.74803149606299213" header="0.31496062992125984" footer="0.31496062992125984"/>
  <pageSetup paperSize="9" scale="90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W125"/>
  <sheetViews>
    <sheetView showGridLines="0" tabSelected="1" workbookViewId="0">
      <pane xSplit="1" ySplit="6" topLeftCell="G115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50.7109375" bestFit="1" customWidth="1"/>
    <col min="2" max="6" width="9.140625" hidden="1" customWidth="1"/>
    <col min="8" max="11" width="0" hidden="1" customWidth="1"/>
    <col min="13" max="17" width="0" hidden="1" customWidth="1"/>
    <col min="22" max="22" width="0" hidden="1" customWidth="1"/>
    <col min="28" max="28" width="0" hidden="1" customWidth="1"/>
  </cols>
  <sheetData>
    <row r="1" spans="1:153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3">
      <c r="A2" s="30"/>
      <c r="B2" s="45" t="s">
        <v>5</v>
      </c>
      <c r="C2" s="45" t="s">
        <v>68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68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68</v>
      </c>
      <c r="N2" s="45" t="s">
        <v>0</v>
      </c>
      <c r="O2" s="45" t="s">
        <v>1</v>
      </c>
      <c r="P2" s="45" t="s">
        <v>380</v>
      </c>
      <c r="Q2" s="45" t="s">
        <v>2</v>
      </c>
      <c r="R2" s="45" t="s">
        <v>5</v>
      </c>
      <c r="S2" s="45" t="s">
        <v>68</v>
      </c>
      <c r="T2" s="45" t="s">
        <v>0</v>
      </c>
      <c r="U2" s="45" t="s">
        <v>1</v>
      </c>
      <c r="V2" s="45" t="s">
        <v>380</v>
      </c>
      <c r="W2" s="45" t="s">
        <v>2</v>
      </c>
      <c r="X2" s="45" t="s">
        <v>5</v>
      </c>
      <c r="Y2" s="45" t="s">
        <v>68</v>
      </c>
      <c r="Z2" s="45" t="s">
        <v>0</v>
      </c>
      <c r="AA2" s="45" t="s">
        <v>1</v>
      </c>
      <c r="AB2" s="45" t="s">
        <v>380</v>
      </c>
      <c r="AC2" s="45" t="s">
        <v>2</v>
      </c>
      <c r="AD2" s="45" t="s">
        <v>5</v>
      </c>
    </row>
    <row r="3" spans="1:153" ht="12" customHeight="1">
      <c r="A3" s="237" t="s">
        <v>259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</row>
    <row r="4" spans="1:153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153" ht="24" customHeight="1">
      <c r="A5" s="33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153">
      <c r="A6" s="328" t="s">
        <v>60</v>
      </c>
      <c r="B6" s="322"/>
      <c r="C6" s="330"/>
      <c r="D6" s="330"/>
      <c r="E6" s="330"/>
      <c r="F6" s="330"/>
      <c r="G6" s="322"/>
      <c r="H6" s="330"/>
      <c r="I6" s="330"/>
      <c r="J6" s="330"/>
      <c r="K6" s="330"/>
      <c r="L6" s="322"/>
      <c r="M6" s="330"/>
      <c r="N6" s="330"/>
      <c r="O6" s="330"/>
      <c r="P6" s="330"/>
      <c r="Q6" s="330"/>
      <c r="R6" s="322"/>
      <c r="S6" s="330"/>
      <c r="T6" s="330"/>
      <c r="U6" s="330"/>
      <c r="V6" s="330"/>
      <c r="W6" s="330"/>
      <c r="X6" s="322"/>
      <c r="Y6" s="330"/>
      <c r="Z6" s="330"/>
      <c r="AA6" s="330"/>
      <c r="AB6" s="330"/>
      <c r="AC6" s="330"/>
      <c r="AD6" s="32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>
      <c r="A7" s="60" t="s">
        <v>46</v>
      </c>
      <c r="B7" s="35">
        <f>B13+B10+B16+B19+B22</f>
        <v>4383</v>
      </c>
      <c r="C7" s="61">
        <f>C13+C10+C16+C19+C22</f>
        <v>1078</v>
      </c>
      <c r="D7" s="61">
        <f>D13+D10+D16+D19+D22</f>
        <v>1058</v>
      </c>
      <c r="E7" s="61">
        <f>E13+E10+E16+E19+E22</f>
        <v>1061</v>
      </c>
      <c r="F7" s="61">
        <f>G7-E7-D7-C7</f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309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309">
        <v>3104</v>
      </c>
      <c r="W7" s="61">
        <v>1055</v>
      </c>
      <c r="X7" s="35">
        <v>4159</v>
      </c>
      <c r="Y7" s="61">
        <v>1054</v>
      </c>
      <c r="Z7" s="61">
        <v>1039</v>
      </c>
      <c r="AA7" s="61">
        <v>1037</v>
      </c>
      <c r="AB7" s="309">
        <v>3130</v>
      </c>
      <c r="AC7" s="61">
        <v>1052</v>
      </c>
      <c r="AD7" s="35">
        <v>4182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>
      <c r="A8" s="62" t="s">
        <v>7</v>
      </c>
      <c r="B8" s="23"/>
      <c r="C8" s="63"/>
      <c r="D8" s="63">
        <f>D7/C7-1</f>
        <v>-1.8552875695732829E-2</v>
      </c>
      <c r="E8" s="63">
        <f>E7/D7-1</f>
        <v>2.835538752362865E-3</v>
      </c>
      <c r="F8" s="63">
        <f>F7/E7-1</f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310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310"/>
      <c r="W8" s="63">
        <v>1.2476007677543199E-2</v>
      </c>
      <c r="X8" s="23"/>
      <c r="Y8" s="63">
        <v>-9.4786729857820884E-4</v>
      </c>
      <c r="Z8" s="63">
        <v>-1.4231499051233443E-2</v>
      </c>
      <c r="AA8" s="63">
        <v>-1.9249278152069227E-3</v>
      </c>
      <c r="AB8" s="310"/>
      <c r="AC8" s="63">
        <v>1.4464802314368308E-2</v>
      </c>
      <c r="AD8" s="23"/>
    </row>
    <row r="9" spans="1:153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311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311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64">
        <v>-4.7984644913627861E-3</v>
      </c>
      <c r="AB9" s="311">
        <v>8.3762886597937847E-3</v>
      </c>
      <c r="AC9" s="64">
        <v>-2.8436018957346265E-3</v>
      </c>
      <c r="AD9" s="23">
        <v>5.5301755229621996E-3</v>
      </c>
    </row>
    <row r="10" spans="1:153">
      <c r="A10" s="60" t="s">
        <v>185</v>
      </c>
      <c r="B10" s="35">
        <v>1500</v>
      </c>
      <c r="C10" s="61">
        <v>382</v>
      </c>
      <c r="D10" s="61">
        <v>381</v>
      </c>
      <c r="E10" s="61">
        <v>386</v>
      </c>
      <c r="F10" s="61">
        <f>G10-E10-D10-C10</f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309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309">
        <v>1205</v>
      </c>
      <c r="W10" s="61">
        <v>417</v>
      </c>
      <c r="X10" s="35">
        <v>1622</v>
      </c>
      <c r="Y10" s="61">
        <v>398</v>
      </c>
      <c r="Z10" s="61">
        <v>403</v>
      </c>
      <c r="AA10" s="61">
        <v>407</v>
      </c>
      <c r="AB10" s="309">
        <v>1208</v>
      </c>
      <c r="AC10" s="61">
        <v>416</v>
      </c>
      <c r="AD10" s="35">
        <v>1624</v>
      </c>
    </row>
    <row r="11" spans="1:153">
      <c r="A11" s="62" t="s">
        <v>7</v>
      </c>
      <c r="B11" s="23"/>
      <c r="C11" s="63"/>
      <c r="D11" s="63">
        <f>D10/C10-1</f>
        <v>-2.6178010471203939E-3</v>
      </c>
      <c r="E11" s="63">
        <f>E10/D10-1</f>
        <v>1.3123359580052396E-2</v>
      </c>
      <c r="F11" s="63">
        <f>F10/E10-1</f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310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310"/>
      <c r="W11" s="63">
        <v>2.2058823529411686E-2</v>
      </c>
      <c r="X11" s="23"/>
      <c r="Y11" s="63">
        <v>-4.5563549160671513E-2</v>
      </c>
      <c r="Z11" s="63">
        <v>1.2562814070351758E-2</v>
      </c>
      <c r="AA11" s="63">
        <v>9.9255583126551805E-3</v>
      </c>
      <c r="AB11" s="310"/>
      <c r="AC11" s="63">
        <v>2.2113022113022129E-2</v>
      </c>
      <c r="AD11" s="23"/>
    </row>
    <row r="12" spans="1:153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311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311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64">
        <v>-2.450980392156854E-3</v>
      </c>
      <c r="AB12" s="311">
        <v>2.4896265560165887E-3</v>
      </c>
      <c r="AC12" s="64">
        <v>-2.3980815347721673E-3</v>
      </c>
      <c r="AD12" s="23">
        <v>1.2330456226881115E-3</v>
      </c>
    </row>
    <row r="13" spans="1:153">
      <c r="A13" s="60" t="s">
        <v>186</v>
      </c>
      <c r="B13" s="35">
        <v>1392</v>
      </c>
      <c r="C13" s="61">
        <v>334</v>
      </c>
      <c r="D13" s="61">
        <v>320</v>
      </c>
      <c r="E13" s="61">
        <v>318</v>
      </c>
      <c r="F13" s="61">
        <f>G13-E13-D13-C13</f>
        <v>309</v>
      </c>
      <c r="G13" s="35">
        <v>1281</v>
      </c>
      <c r="H13" s="61">
        <v>302</v>
      </c>
      <c r="I13" s="61">
        <v>291</v>
      </c>
      <c r="J13" s="61">
        <v>282</v>
      </c>
      <c r="K13" s="61">
        <v>281</v>
      </c>
      <c r="L13" s="35">
        <v>1156</v>
      </c>
      <c r="M13" s="61">
        <v>269</v>
      </c>
      <c r="N13" s="61">
        <v>264</v>
      </c>
      <c r="O13" s="61">
        <v>259</v>
      </c>
      <c r="P13" s="309">
        <v>792</v>
      </c>
      <c r="Q13" s="61">
        <v>247</v>
      </c>
      <c r="R13" s="35">
        <v>1039</v>
      </c>
      <c r="S13" s="61">
        <v>248</v>
      </c>
      <c r="T13" s="61">
        <v>258</v>
      </c>
      <c r="U13" s="61">
        <v>254</v>
      </c>
      <c r="V13" s="309">
        <v>760</v>
      </c>
      <c r="W13" s="61">
        <v>248</v>
      </c>
      <c r="X13" s="35">
        <v>1008</v>
      </c>
      <c r="Y13" s="61">
        <v>242</v>
      </c>
      <c r="Z13" s="61">
        <v>229</v>
      </c>
      <c r="AA13" s="61">
        <v>220</v>
      </c>
      <c r="AB13" s="309">
        <v>691</v>
      </c>
      <c r="AC13" s="61">
        <v>222</v>
      </c>
      <c r="AD13" s="35">
        <v>913</v>
      </c>
    </row>
    <row r="14" spans="1:153">
      <c r="A14" s="62" t="s">
        <v>7</v>
      </c>
      <c r="B14" s="23"/>
      <c r="C14" s="63"/>
      <c r="D14" s="63">
        <f>D13/C13-1</f>
        <v>-4.1916167664670656E-2</v>
      </c>
      <c r="E14" s="63">
        <f>E13/D13-1</f>
        <v>-6.2499999999999778E-3</v>
      </c>
      <c r="F14" s="63">
        <f>F13/E13-1</f>
        <v>-2.8301886792452824E-2</v>
      </c>
      <c r="G14" s="23"/>
      <c r="H14" s="63">
        <v>-2.2653721682847849E-2</v>
      </c>
      <c r="I14" s="63">
        <v>-3.6423841059602613E-2</v>
      </c>
      <c r="J14" s="63">
        <v>-3.0927835051546393E-2</v>
      </c>
      <c r="K14" s="63">
        <v>-3.5460992907800915E-3</v>
      </c>
      <c r="L14" s="23"/>
      <c r="M14" s="63">
        <v>-4.2704626334519546E-2</v>
      </c>
      <c r="N14" s="63">
        <v>-1.8587360594795488E-2</v>
      </c>
      <c r="O14" s="63">
        <v>-1.8939393939393923E-2</v>
      </c>
      <c r="P14" s="310"/>
      <c r="Q14" s="63">
        <v>-4.633204633204635E-2</v>
      </c>
      <c r="R14" s="23"/>
      <c r="S14" s="63">
        <v>4.0485829959513442E-3</v>
      </c>
      <c r="T14" s="63">
        <v>4.0322580645161255E-2</v>
      </c>
      <c r="U14" s="63">
        <v>-1.5503875968992276E-2</v>
      </c>
      <c r="V14" s="310"/>
      <c r="W14" s="63">
        <v>-2.3622047244094446E-2</v>
      </c>
      <c r="X14" s="23"/>
      <c r="Y14" s="63">
        <v>-2.4193548387096753E-2</v>
      </c>
      <c r="Z14" s="63">
        <v>-5.3719008264462853E-2</v>
      </c>
      <c r="AA14" s="63">
        <v>-3.9301310043668103E-2</v>
      </c>
      <c r="AB14" s="310"/>
      <c r="AC14" s="63">
        <v>9.0909090909090384E-3</v>
      </c>
      <c r="AD14" s="23"/>
    </row>
    <row r="15" spans="1:153" ht="10.5" customHeight="1">
      <c r="A15" s="62" t="s">
        <v>8</v>
      </c>
      <c r="B15" s="23"/>
      <c r="C15" s="64"/>
      <c r="D15" s="64"/>
      <c r="E15" s="64"/>
      <c r="F15" s="64"/>
      <c r="G15" s="23">
        <v>-7.9741379310344862E-2</v>
      </c>
      <c r="H15" s="64">
        <v>-9.5808383233532912E-2</v>
      </c>
      <c r="I15" s="64">
        <v>-9.0624999999999956E-2</v>
      </c>
      <c r="J15" s="64">
        <v>-0.1132075471698113</v>
      </c>
      <c r="K15" s="64">
        <v>-9.061488673139162E-2</v>
      </c>
      <c r="L15" s="23">
        <v>-9.7580015612802495E-2</v>
      </c>
      <c r="M15" s="64">
        <v>-0.10927152317880795</v>
      </c>
      <c r="N15" s="64">
        <v>-9.2783505154639179E-2</v>
      </c>
      <c r="O15" s="64">
        <v>-8.1560283687943214E-2</v>
      </c>
      <c r="P15" s="311"/>
      <c r="Q15" s="64">
        <v>-0.12099644128113884</v>
      </c>
      <c r="R15" s="23">
        <v>-0.10121107266435991</v>
      </c>
      <c r="S15" s="64">
        <v>-7.8066914498141293E-2</v>
      </c>
      <c r="T15" s="64">
        <v>-2.2727272727272707E-2</v>
      </c>
      <c r="U15" s="64">
        <v>-1.9305019305019266E-2</v>
      </c>
      <c r="V15" s="311">
        <v>-4.0404040404040442E-2</v>
      </c>
      <c r="W15" s="64">
        <v>4.0485829959513442E-3</v>
      </c>
      <c r="X15" s="23">
        <v>-2.9836381135707413E-2</v>
      </c>
      <c r="Y15" s="64">
        <v>-2.4193548387096753E-2</v>
      </c>
      <c r="Z15" s="64">
        <v>-0.11240310077519378</v>
      </c>
      <c r="AA15" s="64">
        <v>-0.13385826771653542</v>
      </c>
      <c r="AB15" s="311">
        <v>-9.0789473684210531E-2</v>
      </c>
      <c r="AC15" s="64">
        <v>-0.10483870967741937</v>
      </c>
      <c r="AD15" s="23">
        <v>-9.4246031746031744E-2</v>
      </c>
    </row>
    <row r="16" spans="1:153">
      <c r="A16" s="60" t="s">
        <v>188</v>
      </c>
      <c r="B16" s="35">
        <v>1069</v>
      </c>
      <c r="C16" s="61">
        <v>250</v>
      </c>
      <c r="D16" s="61">
        <v>244</v>
      </c>
      <c r="E16" s="61">
        <v>244</v>
      </c>
      <c r="F16" s="61">
        <f>G16-E16-D16-C16</f>
        <v>237</v>
      </c>
      <c r="G16" s="35">
        <v>975</v>
      </c>
      <c r="H16" s="61">
        <v>247</v>
      </c>
      <c r="I16" s="61">
        <v>244</v>
      </c>
      <c r="J16" s="61">
        <v>243</v>
      </c>
      <c r="K16" s="61">
        <v>243</v>
      </c>
      <c r="L16" s="35">
        <v>977</v>
      </c>
      <c r="M16" s="61">
        <v>246</v>
      </c>
      <c r="N16" s="61">
        <v>238</v>
      </c>
      <c r="O16" s="61">
        <v>245</v>
      </c>
      <c r="P16" s="309">
        <v>729</v>
      </c>
      <c r="Q16" s="61">
        <v>219</v>
      </c>
      <c r="R16" s="35">
        <v>948</v>
      </c>
      <c r="S16" s="61">
        <v>244</v>
      </c>
      <c r="T16" s="61">
        <v>251</v>
      </c>
      <c r="U16" s="61">
        <v>250</v>
      </c>
      <c r="V16" s="309">
        <v>745</v>
      </c>
      <c r="W16" s="61">
        <v>266</v>
      </c>
      <c r="X16" s="35">
        <v>1011</v>
      </c>
      <c r="Y16" s="61">
        <v>268</v>
      </c>
      <c r="Z16" s="61">
        <v>276</v>
      </c>
      <c r="AA16" s="61">
        <v>270</v>
      </c>
      <c r="AB16" s="309">
        <v>814</v>
      </c>
      <c r="AC16" s="61">
        <v>273</v>
      </c>
      <c r="AD16" s="35">
        <v>1087</v>
      </c>
    </row>
    <row r="17" spans="1:30">
      <c r="A17" s="62" t="s">
        <v>7</v>
      </c>
      <c r="B17" s="23"/>
      <c r="C17" s="63"/>
      <c r="D17" s="63">
        <f>D16/C16-1</f>
        <v>-2.4000000000000021E-2</v>
      </c>
      <c r="E17" s="63">
        <f>E16/D16-1</f>
        <v>0</v>
      </c>
      <c r="F17" s="63">
        <f>F16/E16-1</f>
        <v>-2.8688524590163911E-2</v>
      </c>
      <c r="G17" s="23"/>
      <c r="H17" s="63">
        <v>4.2194092827004148E-2</v>
      </c>
      <c r="I17" s="63">
        <v>-1.2145748987854255E-2</v>
      </c>
      <c r="J17" s="63">
        <v>-4.098360655737654E-3</v>
      </c>
      <c r="K17" s="63">
        <v>0</v>
      </c>
      <c r="L17" s="23"/>
      <c r="M17" s="63">
        <v>1.2345679012345734E-2</v>
      </c>
      <c r="N17" s="63">
        <v>-3.2520325203251987E-2</v>
      </c>
      <c r="O17" s="63">
        <v>2.9411764705882248E-2</v>
      </c>
      <c r="P17" s="310"/>
      <c r="Q17" s="63">
        <v>-0.10612244897959189</v>
      </c>
      <c r="R17" s="23"/>
      <c r="S17" s="63">
        <v>0.11415525114155245</v>
      </c>
      <c r="T17" s="63">
        <v>2.8688524590164022E-2</v>
      </c>
      <c r="U17" s="63">
        <v>-3.9840637450199168E-3</v>
      </c>
      <c r="V17" s="310"/>
      <c r="W17" s="63">
        <v>6.4000000000000057E-2</v>
      </c>
      <c r="X17" s="23"/>
      <c r="Y17" s="63">
        <v>7.5187969924812581E-3</v>
      </c>
      <c r="Z17" s="63">
        <v>2.9850746268656803E-2</v>
      </c>
      <c r="AA17" s="63">
        <v>-2.1739130434782594E-2</v>
      </c>
      <c r="AB17" s="310"/>
      <c r="AC17" s="63">
        <v>1.1111111111111072E-2</v>
      </c>
      <c r="AD17" s="23"/>
    </row>
    <row r="18" spans="1:30" ht="11.25" customHeight="1">
      <c r="A18" s="62" t="s">
        <v>8</v>
      </c>
      <c r="B18" s="23"/>
      <c r="C18" s="64"/>
      <c r="D18" s="64"/>
      <c r="E18" s="64"/>
      <c r="F18" s="64"/>
      <c r="G18" s="23">
        <v>-8.7932647333957004E-2</v>
      </c>
      <c r="H18" s="64">
        <v>-1.2000000000000011E-2</v>
      </c>
      <c r="I18" s="64">
        <v>0</v>
      </c>
      <c r="J18" s="64">
        <v>-4.098360655737654E-3</v>
      </c>
      <c r="K18" s="64">
        <v>2.5316455696202445E-2</v>
      </c>
      <c r="L18" s="23">
        <v>2.0512820512821328E-3</v>
      </c>
      <c r="M18" s="64">
        <v>-4.0485829959514552E-3</v>
      </c>
      <c r="N18" s="64">
        <v>-2.4590163934426257E-2</v>
      </c>
      <c r="O18" s="64">
        <v>8.2304526748970819E-3</v>
      </c>
      <c r="P18" s="311"/>
      <c r="Q18" s="64">
        <v>-9.8765432098765427E-2</v>
      </c>
      <c r="R18" s="23">
        <v>-2.9682702149437024E-2</v>
      </c>
      <c r="S18" s="64">
        <v>-8.1300813008130524E-3</v>
      </c>
      <c r="T18" s="64">
        <v>5.4621848739495826E-2</v>
      </c>
      <c r="U18" s="64">
        <v>2.0408163265306145E-2</v>
      </c>
      <c r="V18" s="311">
        <v>2.1947873799725626E-2</v>
      </c>
      <c r="W18" s="64">
        <v>0.21461187214611877</v>
      </c>
      <c r="X18" s="23">
        <v>6.6455696202531556E-2</v>
      </c>
      <c r="Y18" s="64">
        <v>9.8360655737705027E-2</v>
      </c>
      <c r="Z18" s="64">
        <v>9.960159362549792E-2</v>
      </c>
      <c r="AA18" s="64">
        <v>8.0000000000000071E-2</v>
      </c>
      <c r="AB18" s="311">
        <v>9.2617449664429641E-2</v>
      </c>
      <c r="AC18" s="64">
        <v>2.6315789473684292E-2</v>
      </c>
      <c r="AD18" s="23">
        <v>7.5173095944609303E-2</v>
      </c>
    </row>
    <row r="19" spans="1:30">
      <c r="A19" s="60" t="s">
        <v>189</v>
      </c>
      <c r="B19" s="35">
        <v>203</v>
      </c>
      <c r="C19" s="61">
        <v>56</v>
      </c>
      <c r="D19" s="61">
        <v>57</v>
      </c>
      <c r="E19" s="61">
        <v>57</v>
      </c>
      <c r="F19" s="61">
        <f>G19-E19-D19-C19</f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309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309">
        <v>213</v>
      </c>
      <c r="W19" s="61">
        <v>75</v>
      </c>
      <c r="X19" s="35">
        <v>288</v>
      </c>
      <c r="Y19" s="61">
        <v>82</v>
      </c>
      <c r="Z19" s="61">
        <v>76</v>
      </c>
      <c r="AA19" s="61">
        <v>80</v>
      </c>
      <c r="AB19" s="309">
        <v>238</v>
      </c>
      <c r="AC19" s="61">
        <v>80</v>
      </c>
      <c r="AD19" s="35">
        <v>318</v>
      </c>
    </row>
    <row r="20" spans="1:30">
      <c r="A20" s="62" t="s">
        <v>7</v>
      </c>
      <c r="B20" s="23"/>
      <c r="C20" s="63"/>
      <c r="D20" s="63">
        <f>D19/C19-1</f>
        <v>1.7857142857142794E-2</v>
      </c>
      <c r="E20" s="63">
        <f>E19/D19-1</f>
        <v>0</v>
      </c>
      <c r="F20" s="63">
        <f>F19/E19-1</f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310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310"/>
      <c r="W20" s="63">
        <v>5.6338028169014009E-2</v>
      </c>
      <c r="X20" s="23"/>
      <c r="Y20" s="63">
        <v>9.3333333333333268E-2</v>
      </c>
      <c r="Z20" s="63">
        <v>-7.3170731707317027E-2</v>
      </c>
      <c r="AA20" s="63">
        <v>5.2631578947368363E-2</v>
      </c>
      <c r="AB20" s="310"/>
      <c r="AC20" s="63">
        <v>0</v>
      </c>
      <c r="AD20" s="23"/>
    </row>
    <row r="21" spans="1:30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311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311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64">
        <v>0.12676056338028174</v>
      </c>
      <c r="AB21" s="311">
        <v>0.11737089201877926</v>
      </c>
      <c r="AC21" s="64">
        <v>6.6666666666666652E-2</v>
      </c>
      <c r="AD21" s="23">
        <v>0.10416666666666674</v>
      </c>
    </row>
    <row r="22" spans="1:30">
      <c r="A22" s="60" t="s">
        <v>187</v>
      </c>
      <c r="B22" s="35">
        <v>219</v>
      </c>
      <c r="C22" s="61">
        <v>56</v>
      </c>
      <c r="D22" s="61">
        <v>56</v>
      </c>
      <c r="E22" s="61">
        <v>56</v>
      </c>
      <c r="F22" s="61">
        <f>G22-E22-D22-C22</f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309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309">
        <v>181</v>
      </c>
      <c r="W22" s="61">
        <v>49</v>
      </c>
      <c r="X22" s="35">
        <v>230</v>
      </c>
      <c r="Y22" s="61">
        <v>64</v>
      </c>
      <c r="Z22" s="61">
        <v>55</v>
      </c>
      <c r="AA22" s="61">
        <v>60</v>
      </c>
      <c r="AB22" s="309">
        <v>179</v>
      </c>
      <c r="AC22" s="61">
        <v>61</v>
      </c>
      <c r="AD22" s="35">
        <v>240</v>
      </c>
    </row>
    <row r="23" spans="1:30">
      <c r="A23" s="62" t="s">
        <v>7</v>
      </c>
      <c r="B23" s="23"/>
      <c r="C23" s="63"/>
      <c r="D23" s="63">
        <f>D22/C22-1</f>
        <v>0</v>
      </c>
      <c r="E23" s="63">
        <f>E22/D22-1</f>
        <v>0</v>
      </c>
      <c r="F23" s="63">
        <f>F22/E22-1</f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310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310"/>
      <c r="W23" s="63">
        <v>-0.16949152542372881</v>
      </c>
      <c r="X23" s="23"/>
      <c r="Y23" s="63">
        <v>0.30612244897959173</v>
      </c>
      <c r="Z23" s="63">
        <v>-0.140625</v>
      </c>
      <c r="AA23" s="63">
        <v>9.0909090909090828E-2</v>
      </c>
      <c r="AB23" s="310"/>
      <c r="AC23" s="63">
        <v>1.6666666666666607E-2</v>
      </c>
      <c r="AD23" s="23"/>
    </row>
    <row r="24" spans="1:30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311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311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64">
        <v>1.6949152542372836E-2</v>
      </c>
      <c r="AB24" s="311">
        <v>-1.1049723756906049E-2</v>
      </c>
      <c r="AC24" s="64">
        <v>0.24489795918367352</v>
      </c>
      <c r="AD24" s="23">
        <v>4.3478260869565188E-2</v>
      </c>
    </row>
    <row r="25" spans="1:30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316"/>
      <c r="Q25" s="40"/>
      <c r="R25" s="39"/>
      <c r="S25" s="40"/>
      <c r="T25" s="40"/>
      <c r="U25" s="40"/>
      <c r="V25" s="316"/>
      <c r="W25" s="40"/>
      <c r="X25" s="39"/>
      <c r="Y25" s="40"/>
      <c r="Z25" s="40"/>
      <c r="AA25" s="40"/>
      <c r="AB25" s="316"/>
      <c r="AC25" s="40"/>
      <c r="AD25" s="39"/>
    </row>
    <row r="26" spans="1:30">
      <c r="A26" s="60" t="s">
        <v>106</v>
      </c>
      <c r="B26" s="35">
        <v>2329</v>
      </c>
      <c r="C26" s="70" t="s">
        <v>38</v>
      </c>
      <c r="D26" s="70" t="s">
        <v>38</v>
      </c>
      <c r="E26" s="70" t="s">
        <v>38</v>
      </c>
      <c r="F26" s="70" t="s">
        <v>38</v>
      </c>
      <c r="G26" s="35">
        <v>2232</v>
      </c>
      <c r="H26" s="70" t="s">
        <v>38</v>
      </c>
      <c r="I26" s="70" t="s">
        <v>38</v>
      </c>
      <c r="J26" s="70" t="s">
        <v>38</v>
      </c>
      <c r="K26" s="70" t="s">
        <v>38</v>
      </c>
      <c r="L26" s="35">
        <v>2101</v>
      </c>
      <c r="M26" s="70" t="s">
        <v>38</v>
      </c>
      <c r="N26" s="70" t="s">
        <v>38</v>
      </c>
      <c r="O26" s="70" t="s">
        <v>38</v>
      </c>
      <c r="P26" s="340" t="s">
        <v>38</v>
      </c>
      <c r="Q26" s="70" t="s">
        <v>38</v>
      </c>
      <c r="R26" s="35">
        <v>2029</v>
      </c>
      <c r="S26" s="70" t="s">
        <v>38</v>
      </c>
      <c r="T26" s="70" t="s">
        <v>38</v>
      </c>
      <c r="U26" s="70" t="s">
        <v>38</v>
      </c>
      <c r="V26" s="340" t="s">
        <v>38</v>
      </c>
      <c r="W26" s="70" t="s">
        <v>38</v>
      </c>
      <c r="X26" s="35">
        <v>2033</v>
      </c>
      <c r="Y26" s="70" t="s">
        <v>38</v>
      </c>
      <c r="Z26" s="70" t="s">
        <v>38</v>
      </c>
      <c r="AA26" s="70" t="s">
        <v>38</v>
      </c>
      <c r="AB26" s="340" t="s">
        <v>38</v>
      </c>
      <c r="AC26" s="70" t="s">
        <v>38</v>
      </c>
      <c r="AD26" s="35">
        <v>2071</v>
      </c>
    </row>
    <row r="27" spans="1:30">
      <c r="A27" s="62" t="s">
        <v>108</v>
      </c>
      <c r="B27" s="23">
        <f>B26/B7</f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311"/>
      <c r="Q27" s="64"/>
      <c r="R27" s="23">
        <v>0.49815860545052787</v>
      </c>
      <c r="S27" s="64"/>
      <c r="T27" s="64"/>
      <c r="U27" s="64"/>
      <c r="V27" s="311"/>
      <c r="W27" s="64"/>
      <c r="X27" s="23">
        <v>0.48881942774705456</v>
      </c>
      <c r="Y27" s="64"/>
      <c r="Z27" s="64"/>
      <c r="AA27" s="64"/>
      <c r="AB27" s="311"/>
      <c r="AC27" s="64"/>
      <c r="AD27" s="23">
        <v>0.4952175992348159</v>
      </c>
    </row>
    <row r="28" spans="1:30">
      <c r="A28" s="60" t="s">
        <v>107</v>
      </c>
      <c r="B28" s="35">
        <v>2054</v>
      </c>
      <c r="C28" s="70" t="s">
        <v>38</v>
      </c>
      <c r="D28" s="70" t="s">
        <v>38</v>
      </c>
      <c r="E28" s="70" t="s">
        <v>38</v>
      </c>
      <c r="F28" s="70" t="s">
        <v>38</v>
      </c>
      <c r="G28" s="35">
        <v>2012</v>
      </c>
      <c r="H28" s="70" t="s">
        <v>38</v>
      </c>
      <c r="I28" s="70" t="s">
        <v>38</v>
      </c>
      <c r="J28" s="70" t="s">
        <v>38</v>
      </c>
      <c r="K28" s="70" t="s">
        <v>38</v>
      </c>
      <c r="L28" s="35">
        <v>2095</v>
      </c>
      <c r="M28" s="70" t="s">
        <v>38</v>
      </c>
      <c r="N28" s="70" t="s">
        <v>38</v>
      </c>
      <c r="O28" s="70" t="s">
        <v>38</v>
      </c>
      <c r="P28" s="340" t="s">
        <v>38</v>
      </c>
      <c r="Q28" s="70" t="s">
        <v>38</v>
      </c>
      <c r="R28" s="35">
        <v>2044</v>
      </c>
      <c r="S28" s="70" t="s">
        <v>38</v>
      </c>
      <c r="T28" s="70" t="s">
        <v>38</v>
      </c>
      <c r="U28" s="70" t="s">
        <v>38</v>
      </c>
      <c r="V28" s="340" t="s">
        <v>38</v>
      </c>
      <c r="W28" s="70" t="s">
        <v>38</v>
      </c>
      <c r="X28" s="35">
        <v>2126</v>
      </c>
      <c r="Y28" s="70" t="s">
        <v>38</v>
      </c>
      <c r="Z28" s="70" t="s">
        <v>38</v>
      </c>
      <c r="AA28" s="70" t="s">
        <v>38</v>
      </c>
      <c r="AB28" s="340" t="s">
        <v>38</v>
      </c>
      <c r="AC28" s="70" t="s">
        <v>38</v>
      </c>
      <c r="AD28" s="35">
        <v>2011</v>
      </c>
    </row>
    <row r="29" spans="1:30">
      <c r="A29" s="62" t="s">
        <v>108</v>
      </c>
      <c r="B29" s="23">
        <f>B28/B7</f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311"/>
      <c r="Q29" s="64"/>
      <c r="R29" s="23">
        <v>0.50184139454947219</v>
      </c>
      <c r="S29" s="64"/>
      <c r="T29" s="64"/>
      <c r="U29" s="64"/>
      <c r="V29" s="311"/>
      <c r="W29" s="64"/>
      <c r="X29" s="23">
        <v>0.51118057225294544</v>
      </c>
      <c r="Y29" s="64"/>
      <c r="Z29" s="64"/>
      <c r="AA29" s="64"/>
      <c r="AB29" s="311"/>
      <c r="AC29" s="64"/>
      <c r="AD29" s="23">
        <v>0.48087039693926353</v>
      </c>
    </row>
    <row r="30" spans="1:30">
      <c r="A30" s="328" t="s">
        <v>55</v>
      </c>
      <c r="B30" s="322"/>
      <c r="C30" s="316"/>
      <c r="D30" s="316"/>
      <c r="E30" s="316"/>
      <c r="F30" s="316"/>
      <c r="G30" s="322"/>
      <c r="H30" s="316"/>
      <c r="I30" s="316"/>
      <c r="J30" s="316"/>
      <c r="K30" s="316"/>
      <c r="L30" s="322"/>
      <c r="M30" s="316"/>
      <c r="N30" s="316"/>
      <c r="O30" s="316"/>
      <c r="P30" s="316"/>
      <c r="Q30" s="316"/>
      <c r="R30" s="322"/>
      <c r="S30" s="316"/>
      <c r="T30" s="316"/>
      <c r="U30" s="316"/>
      <c r="V30" s="316"/>
      <c r="W30" s="316"/>
      <c r="X30" s="322"/>
      <c r="Y30" s="316"/>
      <c r="Z30" s="316"/>
      <c r="AA30" s="316"/>
      <c r="AB30" s="316"/>
      <c r="AC30" s="316"/>
      <c r="AD30" s="322"/>
    </row>
    <row r="31" spans="1:30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f>G31-E31-D31-C31</f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309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309">
        <v>652</v>
      </c>
      <c r="W31" s="61">
        <v>225</v>
      </c>
      <c r="X31" s="35">
        <v>877</v>
      </c>
      <c r="Y31" s="61">
        <v>223</v>
      </c>
      <c r="Z31" s="61">
        <v>231</v>
      </c>
      <c r="AA31" s="61">
        <v>239</v>
      </c>
      <c r="AB31" s="309">
        <v>693</v>
      </c>
      <c r="AC31" s="61">
        <v>245</v>
      </c>
      <c r="AD31" s="35">
        <v>938</v>
      </c>
    </row>
    <row r="32" spans="1:30" ht="9.75" customHeight="1">
      <c r="A32" s="62" t="s">
        <v>7</v>
      </c>
      <c r="B32" s="23"/>
      <c r="C32" s="63"/>
      <c r="D32" s="63">
        <f>D31/C31-1</f>
        <v>-1.6666666666666718E-2</v>
      </c>
      <c r="E32" s="63">
        <f>E31/D31-1</f>
        <v>5.0847457627118731E-2</v>
      </c>
      <c r="F32" s="63">
        <f>F31/E31-1</f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310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310"/>
      <c r="W32" s="63">
        <v>1.3513513513513598E-2</v>
      </c>
      <c r="X32" s="23"/>
      <c r="Y32" s="63">
        <v>-8.8888888888888351E-3</v>
      </c>
      <c r="Z32" s="63">
        <v>3.5874439461883512E-2</v>
      </c>
      <c r="AA32" s="63">
        <v>3.463203463203457E-2</v>
      </c>
      <c r="AB32" s="310"/>
      <c r="AC32" s="63">
        <v>2.5104602510460206E-2</v>
      </c>
      <c r="AD32" s="23"/>
    </row>
    <row r="33" spans="1:30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311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311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64">
        <v>7.6576576576576683E-2</v>
      </c>
      <c r="AB33" s="311">
        <v>6.2883435582822056E-2</v>
      </c>
      <c r="AC33" s="64">
        <v>8.8888888888888795E-2</v>
      </c>
      <c r="AD33" s="23">
        <v>6.955530216647654E-2</v>
      </c>
    </row>
    <row r="34" spans="1:30">
      <c r="A34" s="60" t="s">
        <v>69</v>
      </c>
      <c r="B34" s="35">
        <v>898</v>
      </c>
      <c r="C34" s="61">
        <v>224</v>
      </c>
      <c r="D34" s="61">
        <v>220</v>
      </c>
      <c r="E34" s="61">
        <v>224</v>
      </c>
      <c r="F34" s="61">
        <f>G34-E34-D34-C34</f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309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309">
        <v>678</v>
      </c>
      <c r="W34" s="61">
        <v>241</v>
      </c>
      <c r="X34" s="35">
        <v>919</v>
      </c>
      <c r="Y34" s="61">
        <v>233</v>
      </c>
      <c r="Z34" s="61">
        <v>233</v>
      </c>
      <c r="AA34" s="61">
        <v>237</v>
      </c>
      <c r="AB34" s="309">
        <v>703</v>
      </c>
      <c r="AC34" s="61">
        <v>231</v>
      </c>
      <c r="AD34" s="35">
        <v>934</v>
      </c>
    </row>
    <row r="35" spans="1:30">
      <c r="A35" s="62" t="s">
        <v>7</v>
      </c>
      <c r="B35" s="23"/>
      <c r="C35" s="63"/>
      <c r="D35" s="63">
        <f>D34/C34-1</f>
        <v>-1.7857142857142905E-2</v>
      </c>
      <c r="E35" s="63">
        <f>E34/D34-1</f>
        <v>1.8181818181818077E-2</v>
      </c>
      <c r="F35" s="63">
        <f>F34/E34-1</f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310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310"/>
      <c r="W35" s="63">
        <v>7.1111111111111125E-2</v>
      </c>
      <c r="X35" s="23"/>
      <c r="Y35" s="63">
        <v>-3.319502074688796E-2</v>
      </c>
      <c r="Z35" s="63">
        <v>0</v>
      </c>
      <c r="AA35" s="63">
        <v>1.716738197424883E-2</v>
      </c>
      <c r="AB35" s="310"/>
      <c r="AC35" s="63">
        <v>-2.5316455696202556E-2</v>
      </c>
      <c r="AD35" s="23"/>
    </row>
    <row r="36" spans="1:30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311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311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64">
        <v>5.3333333333333233E-2</v>
      </c>
      <c r="AB36" s="311">
        <v>3.6873156342182911E-2</v>
      </c>
      <c r="AC36" s="64">
        <v>-4.1493775933609922E-2</v>
      </c>
      <c r="AD36" s="23">
        <v>1.6322089227421177E-2</v>
      </c>
    </row>
    <row r="37" spans="1:30">
      <c r="A37" s="60" t="s">
        <v>206</v>
      </c>
      <c r="B37" s="159">
        <v>-13</v>
      </c>
      <c r="C37" s="165">
        <v>-4</v>
      </c>
      <c r="D37" s="165">
        <v>-1</v>
      </c>
      <c r="E37" s="165">
        <v>-24</v>
      </c>
      <c r="F37" s="165">
        <f>G37-E37-D37-C37</f>
        <v>6</v>
      </c>
      <c r="G37" s="159">
        <v>-23</v>
      </c>
      <c r="H37" s="165">
        <v>18</v>
      </c>
      <c r="I37" s="165">
        <v>89</v>
      </c>
      <c r="J37" s="165">
        <v>-2</v>
      </c>
      <c r="K37" s="165">
        <v>509</v>
      </c>
      <c r="L37" s="159">
        <v>614</v>
      </c>
      <c r="M37" s="165">
        <v>-69</v>
      </c>
      <c r="N37" s="165">
        <v>-423</v>
      </c>
      <c r="O37" s="165">
        <v>-8</v>
      </c>
      <c r="P37" s="312">
        <v>-500</v>
      </c>
      <c r="Q37" s="165">
        <v>94</v>
      </c>
      <c r="R37" s="159">
        <v>-406</v>
      </c>
      <c r="S37" s="165">
        <v>-4</v>
      </c>
      <c r="T37" s="165">
        <v>-2</v>
      </c>
      <c r="U37" s="165">
        <v>-5</v>
      </c>
      <c r="V37" s="312">
        <v>-11</v>
      </c>
      <c r="W37" s="165">
        <v>79</v>
      </c>
      <c r="X37" s="159">
        <v>68</v>
      </c>
      <c r="Y37" s="165">
        <v>-150</v>
      </c>
      <c r="Z37" s="165">
        <v>6</v>
      </c>
      <c r="AA37" s="165">
        <v>8</v>
      </c>
      <c r="AB37" s="312">
        <v>-136</v>
      </c>
      <c r="AC37" s="165">
        <v>31</v>
      </c>
      <c r="AD37" s="159">
        <v>-105</v>
      </c>
    </row>
    <row r="38" spans="1:30" ht="7.5" customHeight="1">
      <c r="A38" s="328"/>
      <c r="B38" s="316"/>
      <c r="C38" s="316"/>
      <c r="D38" s="316"/>
      <c r="E38" s="316"/>
      <c r="F38" s="322"/>
      <c r="G38" s="316"/>
      <c r="H38" s="316"/>
      <c r="I38" s="316"/>
      <c r="J38" s="316"/>
      <c r="K38" s="322"/>
      <c r="L38" s="316"/>
      <c r="M38" s="316"/>
      <c r="N38" s="316"/>
      <c r="O38" s="316"/>
      <c r="P38" s="316"/>
      <c r="Q38" s="322"/>
      <c r="R38" s="316"/>
      <c r="S38" s="316"/>
      <c r="T38" s="316"/>
      <c r="U38" s="316"/>
      <c r="V38" s="316"/>
      <c r="W38" s="322"/>
      <c r="X38" s="316"/>
      <c r="Y38" s="316"/>
      <c r="Z38" s="316"/>
      <c r="AA38" s="316"/>
      <c r="AB38" s="316"/>
      <c r="AC38" s="322"/>
      <c r="AD38" s="316"/>
    </row>
    <row r="39" spans="1:30">
      <c r="A39" s="60" t="s">
        <v>204</v>
      </c>
      <c r="B39" s="35">
        <v>2076</v>
      </c>
      <c r="C39" s="61">
        <v>513</v>
      </c>
      <c r="D39" s="61">
        <v>496</v>
      </c>
      <c r="E39" s="61">
        <v>492</v>
      </c>
      <c r="F39" s="61">
        <f>G39-E39-D39-C39</f>
        <v>470</v>
      </c>
      <c r="G39" s="35">
        <v>1971</v>
      </c>
      <c r="H39" s="61">
        <v>473</v>
      </c>
      <c r="I39" s="61">
        <v>387</v>
      </c>
      <c r="J39" s="61">
        <v>451</v>
      </c>
      <c r="K39" s="165">
        <v>-87</v>
      </c>
      <c r="L39" s="35">
        <v>1224</v>
      </c>
      <c r="M39" s="61">
        <v>531</v>
      </c>
      <c r="N39" s="61">
        <v>875</v>
      </c>
      <c r="O39" s="61">
        <v>440</v>
      </c>
      <c r="P39" s="309">
        <v>1846</v>
      </c>
      <c r="Q39" s="165">
        <v>296</v>
      </c>
      <c r="R39" s="35">
        <v>2142</v>
      </c>
      <c r="S39" s="61">
        <v>439</v>
      </c>
      <c r="T39" s="61">
        <v>464</v>
      </c>
      <c r="U39" s="61">
        <v>446</v>
      </c>
      <c r="V39" s="309">
        <v>1349</v>
      </c>
      <c r="W39" s="165">
        <v>356</v>
      </c>
      <c r="X39" s="35">
        <v>1705</v>
      </c>
      <c r="Y39" s="61">
        <v>593</v>
      </c>
      <c r="Z39" s="61">
        <v>407</v>
      </c>
      <c r="AA39" s="61">
        <v>390</v>
      </c>
      <c r="AB39" s="309">
        <v>1390</v>
      </c>
      <c r="AC39" s="165">
        <v>358</v>
      </c>
      <c r="AD39" s="35">
        <v>1748</v>
      </c>
    </row>
    <row r="40" spans="1:30" ht="9.75" customHeight="1">
      <c r="A40" s="62" t="s">
        <v>7</v>
      </c>
      <c r="B40" s="23"/>
      <c r="C40" s="63"/>
      <c r="D40" s="63">
        <f>D39/C39-1</f>
        <v>-3.3138401559454245E-2</v>
      </c>
      <c r="E40" s="63">
        <f>E39/D39-1</f>
        <v>-8.0645161290322509E-3</v>
      </c>
      <c r="F40" s="63">
        <f>F39/E39-1</f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34</v>
      </c>
      <c r="L40" s="23"/>
      <c r="M40" s="75" t="s">
        <v>34</v>
      </c>
      <c r="N40" s="63">
        <v>0.64783427495291912</v>
      </c>
      <c r="O40" s="63">
        <v>-0.49714285714285711</v>
      </c>
      <c r="P40" s="310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310"/>
      <c r="W40" s="63">
        <v>-0.2017937219730942</v>
      </c>
      <c r="X40" s="23"/>
      <c r="Y40" s="63">
        <v>0.66573033707865159</v>
      </c>
      <c r="Z40" s="63">
        <v>-0.31365935919055654</v>
      </c>
      <c r="AA40" s="63">
        <v>-4.1769041769041726E-2</v>
      </c>
      <c r="AB40" s="310"/>
      <c r="AC40" s="63">
        <v>-8.2051282051282093E-2</v>
      </c>
      <c r="AD40" s="23"/>
    </row>
    <row r="41" spans="1:30" ht="12.7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34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311"/>
      <c r="Q41" s="75" t="s">
        <v>34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311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64">
        <v>-0.12556053811659196</v>
      </c>
      <c r="AB41" s="311">
        <v>3.0392883617494482E-2</v>
      </c>
      <c r="AC41" s="64">
        <v>5.6179775280897903E-3</v>
      </c>
      <c r="AD41" s="23">
        <v>2.521994134897354E-2</v>
      </c>
    </row>
    <row r="42" spans="1:30">
      <c r="A42" s="60" t="s">
        <v>67</v>
      </c>
      <c r="B42" s="35">
        <v>445</v>
      </c>
      <c r="C42" s="131">
        <v>92</v>
      </c>
      <c r="D42" s="131">
        <v>82</v>
      </c>
      <c r="E42" s="131">
        <v>107</v>
      </c>
      <c r="F42" s="131">
        <f>G42-E42-D42-C42</f>
        <v>122</v>
      </c>
      <c r="G42" s="35">
        <v>403</v>
      </c>
      <c r="H42" s="131">
        <v>121</v>
      </c>
      <c r="I42" s="131">
        <v>119</v>
      </c>
      <c r="J42" s="131">
        <v>113</v>
      </c>
      <c r="K42" s="131">
        <v>117</v>
      </c>
      <c r="L42" s="35">
        <v>470</v>
      </c>
      <c r="M42" s="131">
        <v>106</v>
      </c>
      <c r="N42" s="131">
        <v>141</v>
      </c>
      <c r="O42" s="131">
        <v>207</v>
      </c>
      <c r="P42" s="309">
        <v>454</v>
      </c>
      <c r="Q42" s="131">
        <v>115</v>
      </c>
      <c r="R42" s="35">
        <v>569</v>
      </c>
      <c r="S42" s="131">
        <v>49</v>
      </c>
      <c r="T42" s="131">
        <v>163</v>
      </c>
      <c r="U42" s="131">
        <v>91</v>
      </c>
      <c r="V42" s="309">
        <v>303</v>
      </c>
      <c r="W42" s="131">
        <v>100</v>
      </c>
      <c r="X42" s="35">
        <v>403</v>
      </c>
      <c r="Y42" s="131">
        <v>68</v>
      </c>
      <c r="Z42" s="131">
        <v>90</v>
      </c>
      <c r="AA42" s="131">
        <v>110</v>
      </c>
      <c r="AB42" s="309">
        <v>268</v>
      </c>
      <c r="AC42" s="131">
        <v>74</v>
      </c>
      <c r="AD42" s="35">
        <v>342</v>
      </c>
    </row>
    <row r="43" spans="1:30" ht="9.75" customHeight="1">
      <c r="A43" s="62" t="s">
        <v>7</v>
      </c>
      <c r="B43" s="23"/>
      <c r="C43" s="63"/>
      <c r="D43" s="63">
        <f>D42/C42-1</f>
        <v>-0.10869565217391308</v>
      </c>
      <c r="E43" s="63">
        <f>E42/D42-1</f>
        <v>0.30487804878048785</v>
      </c>
      <c r="F43" s="63">
        <f>F42/E42-1</f>
        <v>0.14018691588785037</v>
      </c>
      <c r="G43" s="23"/>
      <c r="H43" s="63">
        <v>-8.1967213114754189E-3</v>
      </c>
      <c r="I43" s="63">
        <v>-1.6528925619834656E-2</v>
      </c>
      <c r="J43" s="63">
        <v>-5.0420168067226934E-2</v>
      </c>
      <c r="K43" s="63">
        <v>3.539823008849563E-2</v>
      </c>
      <c r="L43" s="23"/>
      <c r="M43" s="63">
        <v>-9.4017094017094016E-2</v>
      </c>
      <c r="N43" s="63">
        <v>0.33018867924528306</v>
      </c>
      <c r="O43" s="63">
        <v>0.46808510638297873</v>
      </c>
      <c r="P43" s="310"/>
      <c r="Q43" s="63">
        <v>-0.44444444444444442</v>
      </c>
      <c r="R43" s="23"/>
      <c r="S43" s="63">
        <v>-0.57391304347826089</v>
      </c>
      <c r="T43" s="63">
        <v>2.3265306122448979</v>
      </c>
      <c r="U43" s="63">
        <v>-0.44171779141104295</v>
      </c>
      <c r="V43" s="310"/>
      <c r="W43" s="63">
        <v>9.8901098901098994E-2</v>
      </c>
      <c r="X43" s="23"/>
      <c r="Y43" s="63">
        <v>-0.31999999999999995</v>
      </c>
      <c r="Z43" s="63">
        <v>0.32352941176470584</v>
      </c>
      <c r="AA43" s="63">
        <v>0.22222222222222232</v>
      </c>
      <c r="AB43" s="310"/>
      <c r="AC43" s="63">
        <v>-0.32727272727272727</v>
      </c>
      <c r="AD43" s="23"/>
    </row>
    <row r="44" spans="1:30" ht="11.25" customHeight="1">
      <c r="A44" s="62" t="s">
        <v>8</v>
      </c>
      <c r="B44" s="23"/>
      <c r="C44" s="64"/>
      <c r="D44" s="64"/>
      <c r="E44" s="64"/>
      <c r="F44" s="64"/>
      <c r="G44" s="23">
        <v>-9.4382022471910076E-2</v>
      </c>
      <c r="H44" s="64">
        <v>0.31521739130434789</v>
      </c>
      <c r="I44" s="64">
        <v>0.45121951219512191</v>
      </c>
      <c r="J44" s="64">
        <v>5.6074766355140193E-2</v>
      </c>
      <c r="K44" s="64">
        <v>-4.0983606557377095E-2</v>
      </c>
      <c r="L44" s="23">
        <v>0.16625310173697261</v>
      </c>
      <c r="M44" s="64">
        <v>-0.12396694214876036</v>
      </c>
      <c r="N44" s="64">
        <v>0.18487394957983194</v>
      </c>
      <c r="O44" s="64">
        <v>0.83185840707964598</v>
      </c>
      <c r="P44" s="311"/>
      <c r="Q44" s="64">
        <v>-1.7094017094017144E-2</v>
      </c>
      <c r="R44" s="23">
        <v>0.21063829787234045</v>
      </c>
      <c r="S44" s="64">
        <v>-0.53773584905660377</v>
      </c>
      <c r="T44" s="64">
        <v>0.15602836879432624</v>
      </c>
      <c r="U44" s="64">
        <v>-0.56038647342995174</v>
      </c>
      <c r="V44" s="311">
        <v>-0.33259911894273131</v>
      </c>
      <c r="W44" s="64">
        <v>-0.13043478260869568</v>
      </c>
      <c r="X44" s="23">
        <v>-0.29173989455184535</v>
      </c>
      <c r="Y44" s="64">
        <v>0.38775510204081631</v>
      </c>
      <c r="Z44" s="64">
        <v>-0.44785276073619629</v>
      </c>
      <c r="AA44" s="64">
        <v>0.20879120879120872</v>
      </c>
      <c r="AB44" s="311">
        <v>-0.11551155115511547</v>
      </c>
      <c r="AC44" s="64">
        <v>-0.26</v>
      </c>
      <c r="AD44" s="23">
        <v>-0.15136476426799006</v>
      </c>
    </row>
    <row r="45" spans="1:30">
      <c r="A45" s="60" t="s">
        <v>148</v>
      </c>
      <c r="B45" s="35">
        <v>399</v>
      </c>
      <c r="C45" s="131">
        <v>102</v>
      </c>
      <c r="D45" s="131">
        <v>97</v>
      </c>
      <c r="E45" s="131">
        <v>109</v>
      </c>
      <c r="F45" s="131">
        <f>G45-E45-D45-C45</f>
        <v>88</v>
      </c>
      <c r="G45" s="35">
        <v>396</v>
      </c>
      <c r="H45" s="131">
        <v>89</v>
      </c>
      <c r="I45" s="131">
        <v>66</v>
      </c>
      <c r="J45" s="131">
        <v>81</v>
      </c>
      <c r="K45" s="165">
        <v>-49</v>
      </c>
      <c r="L45" s="35">
        <v>187</v>
      </c>
      <c r="M45" s="131">
        <v>104</v>
      </c>
      <c r="N45" s="131">
        <v>172</v>
      </c>
      <c r="O45" s="131">
        <v>58</v>
      </c>
      <c r="P45" s="309">
        <v>334</v>
      </c>
      <c r="Q45" s="165">
        <v>47</v>
      </c>
      <c r="R45" s="35">
        <v>381</v>
      </c>
      <c r="S45" s="131">
        <v>95</v>
      </c>
      <c r="T45" s="131">
        <v>72</v>
      </c>
      <c r="U45" s="131">
        <v>55</v>
      </c>
      <c r="V45" s="309">
        <v>222</v>
      </c>
      <c r="W45" s="165">
        <v>40</v>
      </c>
      <c r="X45" s="35">
        <v>262</v>
      </c>
      <c r="Y45" s="131">
        <v>125</v>
      </c>
      <c r="Z45" s="131">
        <v>79</v>
      </c>
      <c r="AA45" s="131">
        <v>61</v>
      </c>
      <c r="AB45" s="309">
        <v>265</v>
      </c>
      <c r="AC45" s="165">
        <v>78</v>
      </c>
      <c r="AD45" s="35">
        <v>343</v>
      </c>
    </row>
    <row r="46" spans="1:30" ht="9" customHeight="1">
      <c r="A46" s="62" t="s">
        <v>7</v>
      </c>
      <c r="B46" s="23"/>
      <c r="C46" s="63"/>
      <c r="D46" s="63">
        <f>D45/C45-1</f>
        <v>-4.9019607843137303E-2</v>
      </c>
      <c r="E46" s="63">
        <f>E45/D45-1</f>
        <v>0.12371134020618557</v>
      </c>
      <c r="F46" s="63">
        <f>F45/E45-1</f>
        <v>-0.19266055045871555</v>
      </c>
      <c r="G46" s="23"/>
      <c r="H46" s="63">
        <v>1.1363636363636465E-2</v>
      </c>
      <c r="I46" s="63">
        <v>-0.2584269662921348</v>
      </c>
      <c r="J46" s="63">
        <v>0.22727272727272729</v>
      </c>
      <c r="K46" s="75" t="s">
        <v>34</v>
      </c>
      <c r="L46" s="23"/>
      <c r="M46" s="75" t="s">
        <v>34</v>
      </c>
      <c r="N46" s="63">
        <v>0.65384615384615374</v>
      </c>
      <c r="O46" s="63">
        <v>-0.66279069767441867</v>
      </c>
      <c r="P46" s="310"/>
      <c r="Q46" s="63">
        <v>-0.18965517241379315</v>
      </c>
      <c r="R46" s="23"/>
      <c r="S46" s="63">
        <v>1.021276595744681</v>
      </c>
      <c r="T46" s="63">
        <v>-0.24210526315789471</v>
      </c>
      <c r="U46" s="63">
        <v>-0.23611111111111116</v>
      </c>
      <c r="V46" s="310"/>
      <c r="W46" s="63">
        <v>-0.27272727272727271</v>
      </c>
      <c r="X46" s="23"/>
      <c r="Y46" s="63">
        <v>2.125</v>
      </c>
      <c r="Z46" s="63">
        <v>-0.36799999999999999</v>
      </c>
      <c r="AA46" s="63">
        <v>-0.22784810126582278</v>
      </c>
      <c r="AB46" s="310"/>
      <c r="AC46" s="63">
        <v>0.27868852459016402</v>
      </c>
      <c r="AD46" s="23"/>
    </row>
    <row r="47" spans="1:30" ht="11.25" customHeight="1">
      <c r="A47" s="62" t="s">
        <v>8</v>
      </c>
      <c r="B47" s="23"/>
      <c r="C47" s="64"/>
      <c r="D47" s="64"/>
      <c r="E47" s="64"/>
      <c r="F47" s="64"/>
      <c r="G47" s="23">
        <v>-7.5187969924812581E-3</v>
      </c>
      <c r="H47" s="64">
        <v>-0.12745098039215685</v>
      </c>
      <c r="I47" s="64">
        <v>-0.31958762886597936</v>
      </c>
      <c r="J47" s="64">
        <v>-0.25688073394495414</v>
      </c>
      <c r="K47" s="75" t="s">
        <v>34</v>
      </c>
      <c r="L47" s="23">
        <v>-0.52777777777777779</v>
      </c>
      <c r="M47" s="64">
        <v>0.1685393258426966</v>
      </c>
      <c r="N47" s="64">
        <v>1.606060606060606</v>
      </c>
      <c r="O47" s="64">
        <v>-0.28395061728395066</v>
      </c>
      <c r="P47" s="311"/>
      <c r="Q47" s="75" t="s">
        <v>34</v>
      </c>
      <c r="R47" s="23">
        <v>1.0374331550802141</v>
      </c>
      <c r="S47" s="64">
        <v>-8.6538461538461564E-2</v>
      </c>
      <c r="T47" s="64">
        <v>-0.58139534883720922</v>
      </c>
      <c r="U47" s="64">
        <v>-5.1724137931034475E-2</v>
      </c>
      <c r="V47" s="311">
        <v>-0.33532934131736525</v>
      </c>
      <c r="W47" s="64">
        <v>-0.14893617021276595</v>
      </c>
      <c r="X47" s="23">
        <v>-0.31233595800524938</v>
      </c>
      <c r="Y47" s="64">
        <v>0.31578947368421062</v>
      </c>
      <c r="Z47" s="64">
        <v>9.7222222222222321E-2</v>
      </c>
      <c r="AA47" s="64">
        <v>0.10909090909090913</v>
      </c>
      <c r="AB47" s="311">
        <v>0.19369369369369371</v>
      </c>
      <c r="AC47" s="64">
        <v>0.95</v>
      </c>
      <c r="AD47" s="23">
        <v>0.30916030534351147</v>
      </c>
    </row>
    <row r="48" spans="1:30">
      <c r="A48" s="60" t="s">
        <v>260</v>
      </c>
      <c r="B48" s="35">
        <f>1631-399</f>
        <v>1232</v>
      </c>
      <c r="C48" s="61">
        <v>319</v>
      </c>
      <c r="D48" s="61">
        <f>414-97</f>
        <v>317</v>
      </c>
      <c r="E48" s="61">
        <f>385-109</f>
        <v>276</v>
      </c>
      <c r="F48" s="131">
        <f>G48-E48-D48-C48</f>
        <v>260</v>
      </c>
      <c r="G48" s="35">
        <v>1172</v>
      </c>
      <c r="H48" s="61">
        <v>263</v>
      </c>
      <c r="I48" s="61">
        <v>202</v>
      </c>
      <c r="J48" s="61">
        <v>257</v>
      </c>
      <c r="K48" s="165">
        <v>-155</v>
      </c>
      <c r="L48" s="35">
        <v>567</v>
      </c>
      <c r="M48" s="61">
        <v>321</v>
      </c>
      <c r="N48" s="61">
        <v>562</v>
      </c>
      <c r="O48" s="61">
        <v>175</v>
      </c>
      <c r="P48" s="309">
        <v>1058</v>
      </c>
      <c r="Q48" s="165">
        <v>134</v>
      </c>
      <c r="R48" s="35">
        <v>1192</v>
      </c>
      <c r="S48" s="61">
        <v>295</v>
      </c>
      <c r="T48" s="61">
        <v>229</v>
      </c>
      <c r="U48" s="61">
        <v>300</v>
      </c>
      <c r="V48" s="309">
        <v>824</v>
      </c>
      <c r="W48" s="165">
        <v>216</v>
      </c>
      <c r="X48" s="35">
        <v>1040</v>
      </c>
      <c r="Y48" s="61">
        <v>400</v>
      </c>
      <c r="Z48" s="61">
        <v>238</v>
      </c>
      <c r="AA48" s="61">
        <v>219</v>
      </c>
      <c r="AB48" s="309">
        <v>857</v>
      </c>
      <c r="AC48" s="165">
        <v>206</v>
      </c>
      <c r="AD48" s="35">
        <v>1063</v>
      </c>
    </row>
    <row r="49" spans="1:30" ht="10.5" customHeight="1">
      <c r="A49" s="62" t="s">
        <v>7</v>
      </c>
      <c r="B49" s="23"/>
      <c r="C49" s="63"/>
      <c r="D49" s="63">
        <f>D48/C48-1</f>
        <v>-6.2695924764890609E-3</v>
      </c>
      <c r="E49" s="63">
        <f>E48/D48-1</f>
        <v>-0.12933753943217663</v>
      </c>
      <c r="F49" s="63">
        <f>F48/E48-1</f>
        <v>-5.7971014492753659E-2</v>
      </c>
      <c r="G49" s="23"/>
      <c r="H49" s="63">
        <v>1.1538461538461497E-2</v>
      </c>
      <c r="I49" s="63">
        <v>-0.23193916349809884</v>
      </c>
      <c r="J49" s="63">
        <v>0.2722772277227723</v>
      </c>
      <c r="K49" s="75" t="s">
        <v>34</v>
      </c>
      <c r="L49" s="23"/>
      <c r="M49" s="75" t="s">
        <v>34</v>
      </c>
      <c r="N49" s="63">
        <v>0.75077881619937692</v>
      </c>
      <c r="O49" s="63">
        <v>-0.68861209964412806</v>
      </c>
      <c r="P49" s="310"/>
      <c r="Q49" s="63">
        <v>-0.23428571428571432</v>
      </c>
      <c r="R49" s="23"/>
      <c r="S49" s="63">
        <v>1.2014925373134329</v>
      </c>
      <c r="T49" s="63">
        <v>-0.22372881355932206</v>
      </c>
      <c r="U49" s="63">
        <v>0.31004366812227069</v>
      </c>
      <c r="V49" s="310"/>
      <c r="W49" s="63">
        <v>-0.28000000000000003</v>
      </c>
      <c r="X49" s="23"/>
      <c r="Y49" s="63">
        <v>0.85185185185185186</v>
      </c>
      <c r="Z49" s="63">
        <v>-0.40500000000000003</v>
      </c>
      <c r="AA49" s="63">
        <v>-7.9831932773109293E-2</v>
      </c>
      <c r="AB49" s="310"/>
      <c r="AC49" s="63">
        <v>-5.9360730593607358E-2</v>
      </c>
      <c r="AD49" s="23"/>
    </row>
    <row r="50" spans="1:30" ht="11.25" customHeight="1">
      <c r="A50" s="62" t="s">
        <v>8</v>
      </c>
      <c r="B50" s="23"/>
      <c r="C50" s="64"/>
      <c r="D50" s="64"/>
      <c r="E50" s="64"/>
      <c r="F50" s="64"/>
      <c r="G50" s="23">
        <v>-4.870129870129869E-2</v>
      </c>
      <c r="H50" s="64">
        <v>-0.17554858934169282</v>
      </c>
      <c r="I50" s="64">
        <v>-0.36277602523659302</v>
      </c>
      <c r="J50" s="64">
        <v>-6.88405797101449E-2</v>
      </c>
      <c r="K50" s="75" t="s">
        <v>34</v>
      </c>
      <c r="L50" s="23">
        <v>-0.5162116040955631</v>
      </c>
      <c r="M50" s="64">
        <v>0.22053231939163509</v>
      </c>
      <c r="N50" s="64">
        <v>1.782178217821782</v>
      </c>
      <c r="O50" s="64">
        <v>-0.31906614785992216</v>
      </c>
      <c r="P50" s="311"/>
      <c r="Q50" s="75" t="s">
        <v>34</v>
      </c>
      <c r="R50" s="23">
        <v>1.1022927689594355</v>
      </c>
      <c r="S50" s="64">
        <v>-8.0996884735202501E-2</v>
      </c>
      <c r="T50" s="64">
        <v>-0.592526690391459</v>
      </c>
      <c r="U50" s="64">
        <v>0.71428571428571419</v>
      </c>
      <c r="V50" s="311">
        <v>-0.22117202268431002</v>
      </c>
      <c r="W50" s="64">
        <v>0.61194029850746268</v>
      </c>
      <c r="X50" s="23">
        <v>-0.12751677852348997</v>
      </c>
      <c r="Y50" s="64">
        <v>0.35593220338983045</v>
      </c>
      <c r="Z50" s="64">
        <v>3.9301310043668103E-2</v>
      </c>
      <c r="AA50" s="64">
        <v>-0.27</v>
      </c>
      <c r="AB50" s="311">
        <v>4.0048543689320315E-2</v>
      </c>
      <c r="AC50" s="64">
        <v>-4.629629629629628E-2</v>
      </c>
      <c r="AD50" s="23">
        <v>2.2115384615384537E-2</v>
      </c>
    </row>
    <row r="51" spans="1:30">
      <c r="A51" s="79" t="s">
        <v>335</v>
      </c>
      <c r="B51" s="35">
        <f>B48+(B37*0.75)</f>
        <v>1222.25</v>
      </c>
      <c r="C51" s="195">
        <f>C48+(C37*0.76)</f>
        <v>315.95999999999998</v>
      </c>
      <c r="D51" s="195">
        <f>D48+(D37*0.76)</f>
        <v>316.24</v>
      </c>
      <c r="E51" s="195">
        <f>E48+(E37*0.76)</f>
        <v>257.76</v>
      </c>
      <c r="F51" s="131">
        <f>G51-E51-D51-C51</f>
        <v>264.56</v>
      </c>
      <c r="G51" s="35">
        <v>1154.52</v>
      </c>
      <c r="H51" s="195">
        <v>276.86</v>
      </c>
      <c r="I51" s="195">
        <v>270.52999999999997</v>
      </c>
      <c r="J51" s="195">
        <v>255.46</v>
      </c>
      <c r="K51" s="131">
        <v>236.92999999999995</v>
      </c>
      <c r="L51" s="35">
        <v>1039.78</v>
      </c>
      <c r="M51" s="195">
        <v>267.87</v>
      </c>
      <c r="N51" s="195">
        <v>236.29000000000002</v>
      </c>
      <c r="O51" s="195">
        <v>168.84</v>
      </c>
      <c r="P51" s="309">
        <v>673</v>
      </c>
      <c r="Q51" s="131">
        <v>206.37999999999994</v>
      </c>
      <c r="R51" s="35">
        <v>879.38</v>
      </c>
      <c r="S51" s="195">
        <v>291.92</v>
      </c>
      <c r="T51" s="195">
        <v>227.46</v>
      </c>
      <c r="U51" s="195">
        <v>296.14999999999998</v>
      </c>
      <c r="V51" s="309">
        <v>815.53</v>
      </c>
      <c r="W51" s="131">
        <v>276.82999999999987</v>
      </c>
      <c r="X51" s="35">
        <v>1092.3599999999999</v>
      </c>
      <c r="Y51" s="67">
        <v>290</v>
      </c>
      <c r="Z51" s="195">
        <v>247.62</v>
      </c>
      <c r="AA51" s="195">
        <v>228.16</v>
      </c>
      <c r="AB51" s="309">
        <v>765.78</v>
      </c>
      <c r="AC51" s="131">
        <v>231.37</v>
      </c>
      <c r="AD51" s="35">
        <v>997.15</v>
      </c>
    </row>
    <row r="52" spans="1:30" ht="3.75" customHeight="1">
      <c r="A52" s="200"/>
      <c r="B52" s="35"/>
      <c r="C52" s="195"/>
      <c r="D52" s="195"/>
      <c r="E52" s="195"/>
      <c r="F52" s="131"/>
      <c r="G52" s="35"/>
      <c r="H52" s="195"/>
      <c r="I52" s="195"/>
      <c r="J52" s="195"/>
      <c r="K52" s="131"/>
      <c r="L52" s="35"/>
      <c r="M52" s="195"/>
      <c r="N52" s="195"/>
      <c r="O52" s="195"/>
      <c r="P52" s="341"/>
      <c r="Q52" s="131"/>
      <c r="R52" s="35"/>
      <c r="S52" s="195"/>
      <c r="T52" s="195"/>
      <c r="U52" s="195"/>
      <c r="V52" s="341"/>
      <c r="W52" s="131"/>
      <c r="X52" s="35"/>
      <c r="Y52" s="195"/>
      <c r="Z52" s="195"/>
      <c r="AA52" s="195"/>
      <c r="AB52" s="341"/>
      <c r="AC52" s="131"/>
      <c r="AD52" s="35"/>
    </row>
    <row r="53" spans="1:30">
      <c r="A53" s="60" t="s">
        <v>150</v>
      </c>
      <c r="B53" s="35">
        <f>B31+B39</f>
        <v>2793</v>
      </c>
      <c r="C53" s="67">
        <f>C31+C39</f>
        <v>693</v>
      </c>
      <c r="D53" s="67">
        <f>D31+D39</f>
        <v>673</v>
      </c>
      <c r="E53" s="67">
        <f>E31+E39</f>
        <v>678</v>
      </c>
      <c r="F53" s="61">
        <f>G53-E53-D53-C53</f>
        <v>655</v>
      </c>
      <c r="G53" s="35">
        <v>2699</v>
      </c>
      <c r="H53" s="67">
        <v>677</v>
      </c>
      <c r="I53" s="67">
        <v>598</v>
      </c>
      <c r="J53" s="67">
        <v>669</v>
      </c>
      <c r="K53" s="61">
        <v>130</v>
      </c>
      <c r="L53" s="35">
        <v>2074</v>
      </c>
      <c r="M53" s="67">
        <v>738</v>
      </c>
      <c r="N53" s="67">
        <v>1079</v>
      </c>
      <c r="O53" s="67">
        <v>665</v>
      </c>
      <c r="P53" s="309">
        <v>2482</v>
      </c>
      <c r="Q53" s="61">
        <v>521</v>
      </c>
      <c r="R53" s="35">
        <v>3003</v>
      </c>
      <c r="S53" s="67">
        <v>651</v>
      </c>
      <c r="T53" s="67">
        <v>682</v>
      </c>
      <c r="U53" s="67">
        <v>668</v>
      </c>
      <c r="V53" s="309">
        <v>2001</v>
      </c>
      <c r="W53" s="61">
        <v>581</v>
      </c>
      <c r="X53" s="35">
        <v>2582</v>
      </c>
      <c r="Y53" s="67">
        <v>816</v>
      </c>
      <c r="Z53" s="67">
        <v>638</v>
      </c>
      <c r="AA53" s="67">
        <v>629</v>
      </c>
      <c r="AB53" s="309">
        <v>2083</v>
      </c>
      <c r="AC53" s="61">
        <v>603</v>
      </c>
      <c r="AD53" s="35">
        <v>2686</v>
      </c>
    </row>
    <row r="54" spans="1:30" ht="9" customHeight="1">
      <c r="A54" s="62" t="s">
        <v>7</v>
      </c>
      <c r="B54" s="23"/>
      <c r="C54" s="63"/>
      <c r="D54" s="63">
        <f>D53/C53-1</f>
        <v>-2.8860028860028808E-2</v>
      </c>
      <c r="E54" s="63">
        <f>E53/D53-1</f>
        <v>7.429420505200568E-3</v>
      </c>
      <c r="F54" s="63">
        <f>F53/E53-1</f>
        <v>-3.3923303834808238E-2</v>
      </c>
      <c r="G54" s="23"/>
      <c r="H54" s="63">
        <v>3.3587786259541952E-2</v>
      </c>
      <c r="I54" s="63">
        <v>-0.11669128508124071</v>
      </c>
      <c r="J54" s="63">
        <v>0.11872909698996659</v>
      </c>
      <c r="K54" s="63">
        <v>-0.8056801195814649</v>
      </c>
      <c r="L54" s="23"/>
      <c r="M54" s="63">
        <v>4.6769230769230772</v>
      </c>
      <c r="N54" s="63">
        <v>0.46205962059620598</v>
      </c>
      <c r="O54" s="63">
        <v>-0.38368860055607046</v>
      </c>
      <c r="P54" s="310"/>
      <c r="Q54" s="63">
        <v>-0.2165413533834587</v>
      </c>
      <c r="R54" s="23"/>
      <c r="S54" s="63">
        <v>0.24952015355086377</v>
      </c>
      <c r="T54" s="63">
        <v>4.7619047619047672E-2</v>
      </c>
      <c r="U54" s="63">
        <v>-2.0527859237536639E-2</v>
      </c>
      <c r="V54" s="310"/>
      <c r="W54" s="63">
        <v>-0.13023952095808389</v>
      </c>
      <c r="X54" s="23"/>
      <c r="Y54" s="63">
        <v>0.40447504302925985</v>
      </c>
      <c r="Z54" s="63">
        <v>-0.21813725490196079</v>
      </c>
      <c r="AA54" s="63">
        <v>-1.4106583072100332E-2</v>
      </c>
      <c r="AB54" s="310"/>
      <c r="AC54" s="63">
        <v>-4.1335453100158959E-2</v>
      </c>
      <c r="AD54" s="23"/>
    </row>
    <row r="55" spans="1:30" ht="11.25" customHeight="1">
      <c r="A55" s="62" t="s">
        <v>8</v>
      </c>
      <c r="B55" s="23"/>
      <c r="C55" s="64"/>
      <c r="D55" s="64"/>
      <c r="E55" s="64"/>
      <c r="F55" s="64"/>
      <c r="G55" s="23">
        <v>-3.365556749015397E-2</v>
      </c>
      <c r="H55" s="64">
        <v>-2.3088023088023046E-2</v>
      </c>
      <c r="I55" s="64">
        <v>-0.11144130757800896</v>
      </c>
      <c r="J55" s="64">
        <v>-1.3274336283185861E-2</v>
      </c>
      <c r="K55" s="64">
        <v>-0.80152671755725191</v>
      </c>
      <c r="L55" s="23">
        <v>-0.23156724712856613</v>
      </c>
      <c r="M55" s="64">
        <v>9.0103397341211311E-2</v>
      </c>
      <c r="N55" s="64">
        <v>0.80434782608695654</v>
      </c>
      <c r="O55" s="64">
        <v>-5.9790732436472149E-3</v>
      </c>
      <c r="P55" s="311"/>
      <c r="Q55" s="64">
        <v>3.0076923076923077</v>
      </c>
      <c r="R55" s="23">
        <v>0.44792671166827391</v>
      </c>
      <c r="S55" s="64">
        <v>-0.11788617886178865</v>
      </c>
      <c r="T55" s="64">
        <v>-0.36793327154772937</v>
      </c>
      <c r="U55" s="64">
        <v>4.5112781954887993E-3</v>
      </c>
      <c r="V55" s="311">
        <v>-0.19379532634971797</v>
      </c>
      <c r="W55" s="64">
        <v>0.11516314779270642</v>
      </c>
      <c r="X55" s="23">
        <v>-0.14019314019314022</v>
      </c>
      <c r="Y55" s="64">
        <v>0.25345622119815658</v>
      </c>
      <c r="Z55" s="64">
        <v>-6.4516129032258118E-2</v>
      </c>
      <c r="AA55" s="64">
        <v>-5.8383233532934176E-2</v>
      </c>
      <c r="AB55" s="311">
        <v>4.0979510244877559E-2</v>
      </c>
      <c r="AC55" s="64">
        <v>3.7865748709122293E-2</v>
      </c>
      <c r="AD55" s="23">
        <v>4.027885360185901E-2</v>
      </c>
    </row>
    <row r="56" spans="1:30">
      <c r="A56" s="79" t="s">
        <v>290</v>
      </c>
      <c r="B56" s="35">
        <f>B53+B37</f>
        <v>2780</v>
      </c>
      <c r="C56" s="195">
        <f>C53+C37</f>
        <v>689</v>
      </c>
      <c r="D56" s="195">
        <f>D53+D37</f>
        <v>672</v>
      </c>
      <c r="E56" s="195">
        <f>E53+E37</f>
        <v>654</v>
      </c>
      <c r="F56" s="195">
        <f>G56-E56-D56-C56</f>
        <v>661</v>
      </c>
      <c r="G56" s="35">
        <v>2676</v>
      </c>
      <c r="H56" s="195">
        <v>695</v>
      </c>
      <c r="I56" s="195">
        <v>687</v>
      </c>
      <c r="J56" s="195">
        <v>667</v>
      </c>
      <c r="K56" s="195">
        <v>639</v>
      </c>
      <c r="L56" s="35">
        <v>2688</v>
      </c>
      <c r="M56" s="195">
        <v>669</v>
      </c>
      <c r="N56" s="195">
        <v>656</v>
      </c>
      <c r="O56" s="195">
        <v>657</v>
      </c>
      <c r="P56" s="309">
        <v>1982</v>
      </c>
      <c r="Q56" s="195">
        <v>615</v>
      </c>
      <c r="R56" s="35">
        <v>2597</v>
      </c>
      <c r="S56" s="195">
        <v>647</v>
      </c>
      <c r="T56" s="195">
        <v>680</v>
      </c>
      <c r="U56" s="195">
        <v>663</v>
      </c>
      <c r="V56" s="309">
        <v>1990</v>
      </c>
      <c r="W56" s="195">
        <v>660</v>
      </c>
      <c r="X56" s="35">
        <v>2650</v>
      </c>
      <c r="Y56" s="67">
        <v>671</v>
      </c>
      <c r="Z56" s="195">
        <v>649</v>
      </c>
      <c r="AA56" s="195">
        <v>640</v>
      </c>
      <c r="AB56" s="309">
        <v>1960</v>
      </c>
      <c r="AC56" s="195">
        <v>636</v>
      </c>
      <c r="AD56" s="35">
        <v>2596</v>
      </c>
    </row>
    <row r="57" spans="1:30" ht="9.75" customHeight="1">
      <c r="A57" s="62" t="s">
        <v>7</v>
      </c>
      <c r="B57" s="23"/>
      <c r="C57" s="63"/>
      <c r="D57" s="63">
        <f>D56/C56-1</f>
        <v>-2.4673439767779359E-2</v>
      </c>
      <c r="E57" s="63">
        <f>E56/D56-1</f>
        <v>-2.6785714285714302E-2</v>
      </c>
      <c r="F57" s="63">
        <f>F56/E56-1</f>
        <v>1.0703363914372988E-2</v>
      </c>
      <c r="G57" s="23"/>
      <c r="H57" s="63">
        <v>5.1437216338880543E-2</v>
      </c>
      <c r="I57" s="63">
        <v>-1.151079136690647E-2</v>
      </c>
      <c r="J57" s="63">
        <v>-2.911208151382827E-2</v>
      </c>
      <c r="K57" s="63">
        <v>-4.1979010494752611E-2</v>
      </c>
      <c r="L57" s="23"/>
      <c r="M57" s="63">
        <v>4.6948356807511749E-2</v>
      </c>
      <c r="N57" s="63">
        <v>-1.9431988041853532E-2</v>
      </c>
      <c r="O57" s="63">
        <v>1.5243902439023849E-3</v>
      </c>
      <c r="P57" s="310"/>
      <c r="Q57" s="63">
        <v>-6.3926940639269403E-2</v>
      </c>
      <c r="R57" s="23"/>
      <c r="S57" s="63">
        <v>5.2032520325203224E-2</v>
      </c>
      <c r="T57" s="63">
        <v>5.1004636785162205E-2</v>
      </c>
      <c r="U57" s="63">
        <v>-2.5000000000000022E-2</v>
      </c>
      <c r="V57" s="310"/>
      <c r="W57" s="63">
        <v>-4.5248868778280382E-3</v>
      </c>
      <c r="X57" s="23"/>
      <c r="Y57" s="63">
        <v>1.6666666666666607E-2</v>
      </c>
      <c r="Z57" s="63">
        <v>-3.2786885245901676E-2</v>
      </c>
      <c r="AA57" s="63">
        <v>-1.3867488443759624E-2</v>
      </c>
      <c r="AB57" s="310"/>
      <c r="AC57" s="63">
        <v>-6.2499999999999778E-3</v>
      </c>
      <c r="AD57" s="23"/>
    </row>
    <row r="58" spans="1:30" ht="9" customHeight="1">
      <c r="A58" s="62" t="s">
        <v>8</v>
      </c>
      <c r="B58" s="23"/>
      <c r="C58" s="64"/>
      <c r="D58" s="64"/>
      <c r="E58" s="64"/>
      <c r="F58" s="64"/>
      <c r="G58" s="23">
        <v>-3.7410071942446055E-2</v>
      </c>
      <c r="H58" s="64">
        <v>8.7082728592162706E-3</v>
      </c>
      <c r="I58" s="64">
        <v>2.2321428571428603E-2</v>
      </c>
      <c r="J58" s="64">
        <v>1.9877675840978659E-2</v>
      </c>
      <c r="K58" s="64">
        <v>-3.3282904689863835E-2</v>
      </c>
      <c r="L58" s="23">
        <v>4.484304932735439E-3</v>
      </c>
      <c r="M58" s="64">
        <v>-3.7410071942446055E-2</v>
      </c>
      <c r="N58" s="64">
        <v>-4.5123726346433801E-2</v>
      </c>
      <c r="O58" s="64">
        <v>-1.4992503748125885E-2</v>
      </c>
      <c r="P58" s="311"/>
      <c r="Q58" s="64">
        <v>-3.7558685446009377E-2</v>
      </c>
      <c r="R58" s="23">
        <v>-3.385416666666663E-2</v>
      </c>
      <c r="S58" s="64">
        <v>-3.2884902840059738E-2</v>
      </c>
      <c r="T58" s="64">
        <v>3.6585365853658569E-2</v>
      </c>
      <c r="U58" s="64">
        <v>9.1324200913243114E-3</v>
      </c>
      <c r="V58" s="311">
        <v>4.0363269424823489E-3</v>
      </c>
      <c r="W58" s="64">
        <v>7.3170731707317138E-2</v>
      </c>
      <c r="X58" s="23">
        <v>2.0408163265306145E-2</v>
      </c>
      <c r="Y58" s="64">
        <v>3.7094281298299947E-2</v>
      </c>
      <c r="Z58" s="64">
        <v>-4.5588235294117596E-2</v>
      </c>
      <c r="AA58" s="64">
        <v>-3.4690799396681737E-2</v>
      </c>
      <c r="AB58" s="311">
        <v>-1.5075376884422065E-2</v>
      </c>
      <c r="AC58" s="64">
        <v>-3.6363636363636376E-2</v>
      </c>
      <c r="AD58" s="23">
        <v>-2.0377358490565989E-2</v>
      </c>
    </row>
    <row r="59" spans="1:30">
      <c r="A59" s="328" t="s">
        <v>56</v>
      </c>
      <c r="B59" s="322"/>
      <c r="C59" s="330"/>
      <c r="D59" s="330"/>
      <c r="E59" s="330"/>
      <c r="F59" s="330"/>
      <c r="G59" s="322"/>
      <c r="H59" s="330"/>
      <c r="I59" s="330"/>
      <c r="J59" s="330"/>
      <c r="K59" s="330"/>
      <c r="L59" s="322"/>
      <c r="M59" s="330"/>
      <c r="N59" s="330"/>
      <c r="O59" s="330"/>
      <c r="P59" s="330"/>
      <c r="Q59" s="330"/>
      <c r="R59" s="322"/>
      <c r="S59" s="330"/>
      <c r="T59" s="330"/>
      <c r="U59" s="330"/>
      <c r="V59" s="330"/>
      <c r="W59" s="330"/>
      <c r="X59" s="322"/>
      <c r="Y59" s="330"/>
      <c r="Z59" s="330"/>
      <c r="AA59" s="330"/>
      <c r="AB59" s="330"/>
      <c r="AC59" s="330"/>
      <c r="AD59" s="322"/>
    </row>
    <row r="60" spans="1:30">
      <c r="A60" s="60" t="s">
        <v>12</v>
      </c>
      <c r="B60" s="57">
        <v>2064</v>
      </c>
      <c r="C60" s="61">
        <v>600</v>
      </c>
      <c r="D60" s="61">
        <v>465</v>
      </c>
      <c r="E60" s="61">
        <v>573</v>
      </c>
      <c r="F60" s="61">
        <f>G60-E60-D60-C60</f>
        <v>587</v>
      </c>
      <c r="G60" s="57">
        <v>2225</v>
      </c>
      <c r="H60" s="61">
        <v>516</v>
      </c>
      <c r="I60" s="61">
        <v>507</v>
      </c>
      <c r="J60" s="61">
        <v>583</v>
      </c>
      <c r="K60" s="61">
        <v>600</v>
      </c>
      <c r="L60" s="57">
        <v>2206</v>
      </c>
      <c r="M60" s="61">
        <v>471</v>
      </c>
      <c r="N60" s="61">
        <v>416</v>
      </c>
      <c r="O60" s="61">
        <v>484</v>
      </c>
      <c r="P60" s="309">
        <v>1371</v>
      </c>
      <c r="Q60" s="61">
        <v>476</v>
      </c>
      <c r="R60" s="57">
        <v>1847</v>
      </c>
      <c r="S60" s="61">
        <v>611</v>
      </c>
      <c r="T60" s="61">
        <v>334</v>
      </c>
      <c r="U60" s="61">
        <v>561</v>
      </c>
      <c r="V60" s="309">
        <v>1506</v>
      </c>
      <c r="W60" s="61">
        <v>600</v>
      </c>
      <c r="X60" s="57">
        <v>2106</v>
      </c>
      <c r="Y60" s="61">
        <v>510</v>
      </c>
      <c r="Z60" s="61">
        <v>354</v>
      </c>
      <c r="AA60" s="61">
        <v>567</v>
      </c>
      <c r="AB60" s="309">
        <v>1431</v>
      </c>
      <c r="AC60" s="61">
        <v>593</v>
      </c>
      <c r="AD60" s="57">
        <v>2024</v>
      </c>
    </row>
    <row r="61" spans="1:30" ht="12" customHeight="1">
      <c r="A61" s="62" t="s">
        <v>7</v>
      </c>
      <c r="B61" s="23"/>
      <c r="C61" s="63"/>
      <c r="D61" s="63">
        <f>D60/C60-1</f>
        <v>-0.22499999999999998</v>
      </c>
      <c r="E61" s="63">
        <f>E60/D60-1</f>
        <v>0.23225806451612896</v>
      </c>
      <c r="F61" s="63">
        <f>F60/E60-1</f>
        <v>2.4432809773123898E-2</v>
      </c>
      <c r="G61" s="23"/>
      <c r="H61" s="63">
        <v>-0.12095400340715501</v>
      </c>
      <c r="I61" s="63">
        <v>-1.744186046511631E-2</v>
      </c>
      <c r="J61" s="63">
        <v>0.14990138067061154</v>
      </c>
      <c r="K61" s="63">
        <v>2.9159519725557415E-2</v>
      </c>
      <c r="L61" s="23"/>
      <c r="M61" s="63">
        <v>-0.21499999999999997</v>
      </c>
      <c r="N61" s="63">
        <v>-0.11677282377919318</v>
      </c>
      <c r="O61" s="63">
        <v>0.16346153846153855</v>
      </c>
      <c r="P61" s="310"/>
      <c r="Q61" s="63">
        <v>-1.6528925619834656E-2</v>
      </c>
      <c r="R61" s="23"/>
      <c r="S61" s="63">
        <v>0.28361344537815136</v>
      </c>
      <c r="T61" s="63">
        <v>-0.45335515548281502</v>
      </c>
      <c r="U61" s="63">
        <v>0.67964071856287434</v>
      </c>
      <c r="V61" s="310"/>
      <c r="W61" s="63">
        <v>6.9518716577540163E-2</v>
      </c>
      <c r="X61" s="23"/>
      <c r="Y61" s="63">
        <v>-0.15000000000000002</v>
      </c>
      <c r="Z61" s="63">
        <v>-0.30588235294117649</v>
      </c>
      <c r="AA61" s="63">
        <v>0.60169491525423724</v>
      </c>
      <c r="AB61" s="310"/>
      <c r="AC61" s="63">
        <v>4.5855379188712631E-2</v>
      </c>
      <c r="AD61" s="23"/>
    </row>
    <row r="62" spans="1:30" ht="10.5" customHeight="1">
      <c r="A62" s="62" t="s">
        <v>8</v>
      </c>
      <c r="B62" s="23"/>
      <c r="C62" s="64"/>
      <c r="D62" s="64"/>
      <c r="E62" s="64"/>
      <c r="F62" s="64"/>
      <c r="G62" s="23">
        <v>7.8003875968992276E-2</v>
      </c>
      <c r="H62" s="64">
        <v>-0.14000000000000001</v>
      </c>
      <c r="I62" s="64">
        <v>9.0322580645161299E-2</v>
      </c>
      <c r="J62" s="64">
        <v>1.7452006980802848E-2</v>
      </c>
      <c r="K62" s="64">
        <v>2.2146507666098714E-2</v>
      </c>
      <c r="L62" s="23">
        <v>-8.5393258426966767E-3</v>
      </c>
      <c r="M62" s="64">
        <v>-8.7209302325581439E-2</v>
      </c>
      <c r="N62" s="64">
        <v>-0.17948717948717952</v>
      </c>
      <c r="O62" s="64">
        <v>-0.16981132075471694</v>
      </c>
      <c r="P62" s="311"/>
      <c r="Q62" s="64">
        <v>-0.20666666666666667</v>
      </c>
      <c r="R62" s="23">
        <v>-0.16273798730734357</v>
      </c>
      <c r="S62" s="64">
        <v>0.29723991507430991</v>
      </c>
      <c r="T62" s="64">
        <v>-0.19711538461538458</v>
      </c>
      <c r="U62" s="64">
        <v>0.15909090909090917</v>
      </c>
      <c r="V62" s="311">
        <v>9.846827133479219E-2</v>
      </c>
      <c r="W62" s="64">
        <v>0.26050420168067223</v>
      </c>
      <c r="X62" s="23">
        <v>0.14022739577693555</v>
      </c>
      <c r="Y62" s="64">
        <v>-0.16530278232405893</v>
      </c>
      <c r="Z62" s="64">
        <v>5.9880239520958112E-2</v>
      </c>
      <c r="AA62" s="64">
        <v>1.0695187165775444E-2</v>
      </c>
      <c r="AB62" s="311">
        <v>-4.980079681274896E-2</v>
      </c>
      <c r="AC62" s="64">
        <v>-1.1666666666666714E-2</v>
      </c>
      <c r="AD62" s="23">
        <v>-3.8936372269705588E-2</v>
      </c>
    </row>
    <row r="63" spans="1:30">
      <c r="A63" s="60" t="s">
        <v>300</v>
      </c>
      <c r="B63" s="57">
        <f>76+758</f>
        <v>834</v>
      </c>
      <c r="C63" s="61">
        <f>26+184</f>
        <v>210</v>
      </c>
      <c r="D63" s="61">
        <f>194+25</f>
        <v>219</v>
      </c>
      <c r="E63" s="61">
        <f>27+143</f>
        <v>170</v>
      </c>
      <c r="F63" s="61">
        <f>G63-E63-D63-C63</f>
        <v>226</v>
      </c>
      <c r="G63" s="57">
        <v>825</v>
      </c>
      <c r="H63" s="61">
        <v>205</v>
      </c>
      <c r="I63" s="61">
        <v>313</v>
      </c>
      <c r="J63" s="61">
        <v>233</v>
      </c>
      <c r="K63" s="61">
        <v>225</v>
      </c>
      <c r="L63" s="57">
        <v>976</v>
      </c>
      <c r="M63" s="61">
        <v>210</v>
      </c>
      <c r="N63" s="61">
        <v>333</v>
      </c>
      <c r="O63" s="61">
        <v>145</v>
      </c>
      <c r="P63" s="309">
        <v>688</v>
      </c>
      <c r="Q63" s="61">
        <v>193</v>
      </c>
      <c r="R63" s="57">
        <v>881</v>
      </c>
      <c r="S63" s="61">
        <v>200</v>
      </c>
      <c r="T63" s="61">
        <v>201</v>
      </c>
      <c r="U63" s="61">
        <v>272</v>
      </c>
      <c r="V63" s="309">
        <v>673</v>
      </c>
      <c r="W63" s="61">
        <v>237</v>
      </c>
      <c r="X63" s="57">
        <v>910</v>
      </c>
      <c r="Y63" s="61">
        <v>312</v>
      </c>
      <c r="Z63" s="61">
        <v>285</v>
      </c>
      <c r="AA63" s="61">
        <v>314</v>
      </c>
      <c r="AB63" s="309">
        <v>911</v>
      </c>
      <c r="AC63" s="61">
        <v>244</v>
      </c>
      <c r="AD63" s="57">
        <v>1155</v>
      </c>
    </row>
    <row r="64" spans="1:30" ht="11.25" customHeight="1">
      <c r="A64" s="62" t="s">
        <v>7</v>
      </c>
      <c r="B64" s="23"/>
      <c r="C64" s="63"/>
      <c r="D64" s="63">
        <f>D63/C63-1</f>
        <v>4.2857142857142927E-2</v>
      </c>
      <c r="E64" s="63">
        <f>E63/D63-1</f>
        <v>-0.22374429223744297</v>
      </c>
      <c r="F64" s="63">
        <f>F63/E63-1</f>
        <v>0.32941176470588229</v>
      </c>
      <c r="G64" s="23"/>
      <c r="H64" s="63">
        <v>-9.2920353982300918E-2</v>
      </c>
      <c r="I64" s="63">
        <v>0.52682926829268295</v>
      </c>
      <c r="J64" s="63">
        <v>-0.25559105431309903</v>
      </c>
      <c r="K64" s="63">
        <v>-3.4334763948497882E-2</v>
      </c>
      <c r="L64" s="23"/>
      <c r="M64" s="63">
        <v>-6.6666666666666652E-2</v>
      </c>
      <c r="N64" s="63">
        <v>0.58571428571428563</v>
      </c>
      <c r="O64" s="63">
        <v>-0.5645645645645645</v>
      </c>
      <c r="P64" s="310"/>
      <c r="Q64" s="63">
        <v>0.33103448275862069</v>
      </c>
      <c r="R64" s="23"/>
      <c r="S64" s="63">
        <v>3.6269430051813378E-2</v>
      </c>
      <c r="T64" s="63">
        <v>4.9999999999998934E-3</v>
      </c>
      <c r="U64" s="63">
        <v>0.3532338308457712</v>
      </c>
      <c r="V64" s="310"/>
      <c r="W64" s="63">
        <v>-0.12867647058823528</v>
      </c>
      <c r="X64" s="23"/>
      <c r="Y64" s="63">
        <v>0.31645569620253156</v>
      </c>
      <c r="Z64" s="63">
        <v>-8.6538461538461564E-2</v>
      </c>
      <c r="AA64" s="63">
        <v>0.10175438596491237</v>
      </c>
      <c r="AB64" s="310"/>
      <c r="AC64" s="63">
        <v>-0.22292993630573243</v>
      </c>
      <c r="AD64" s="23"/>
    </row>
    <row r="65" spans="1:30" ht="10.5" customHeight="1">
      <c r="A65" s="62" t="s">
        <v>8</v>
      </c>
      <c r="B65" s="23"/>
      <c r="C65" s="64"/>
      <c r="D65" s="64"/>
      <c r="E65" s="64"/>
      <c r="F65" s="64"/>
      <c r="G65" s="23">
        <v>-1.0791366906474864E-2</v>
      </c>
      <c r="H65" s="64">
        <v>-2.3809523809523836E-2</v>
      </c>
      <c r="I65" s="64">
        <v>0.42922374429223753</v>
      </c>
      <c r="J65" s="64">
        <v>0.37058823529411766</v>
      </c>
      <c r="K65" s="64">
        <v>-4.4247787610619538E-3</v>
      </c>
      <c r="L65" s="23">
        <v>0.1830303030303031</v>
      </c>
      <c r="M65" s="64">
        <v>2.4390243902439046E-2</v>
      </c>
      <c r="N65" s="64">
        <v>6.3897763578274702E-2</v>
      </c>
      <c r="O65" s="64">
        <v>-0.37768240343347637</v>
      </c>
      <c r="P65" s="311"/>
      <c r="Q65" s="64">
        <v>-0.14222222222222225</v>
      </c>
      <c r="R65" s="23">
        <v>-9.7336065573770503E-2</v>
      </c>
      <c r="S65" s="64">
        <v>-4.7619047619047672E-2</v>
      </c>
      <c r="T65" s="64">
        <v>-0.39639639639639634</v>
      </c>
      <c r="U65" s="64">
        <v>0.87586206896551722</v>
      </c>
      <c r="V65" s="311">
        <v>-2.1802325581395388E-2</v>
      </c>
      <c r="W65" s="64">
        <v>0.22797927461139889</v>
      </c>
      <c r="X65" s="23">
        <v>3.2917139614074831E-2</v>
      </c>
      <c r="Y65" s="64">
        <v>0.56000000000000005</v>
      </c>
      <c r="Z65" s="64">
        <v>0.41791044776119413</v>
      </c>
      <c r="AA65" s="64">
        <v>0.15441176470588225</v>
      </c>
      <c r="AB65" s="311">
        <v>0.35364041604754837</v>
      </c>
      <c r="AC65" s="64">
        <v>2.9535864978903037E-2</v>
      </c>
      <c r="AD65" s="23">
        <v>0.26923076923076916</v>
      </c>
    </row>
    <row r="66" spans="1:30">
      <c r="A66" s="60" t="s">
        <v>184</v>
      </c>
      <c r="B66" s="57">
        <v>132</v>
      </c>
      <c r="C66" s="61">
        <v>10</v>
      </c>
      <c r="D66" s="61">
        <v>16</v>
      </c>
      <c r="E66" s="61">
        <v>46</v>
      </c>
      <c r="F66" s="61">
        <f>G66-C66-D66-E66</f>
        <v>22</v>
      </c>
      <c r="G66" s="57">
        <v>94</v>
      </c>
      <c r="H66" s="61">
        <v>7</v>
      </c>
      <c r="I66" s="165">
        <v>-58</v>
      </c>
      <c r="J66" s="61">
        <v>8</v>
      </c>
      <c r="K66" s="61">
        <v>270</v>
      </c>
      <c r="L66" s="57">
        <v>227</v>
      </c>
      <c r="M66" s="61">
        <v>39</v>
      </c>
      <c r="N66" s="61">
        <v>340</v>
      </c>
      <c r="O66" s="61">
        <v>14</v>
      </c>
      <c r="P66" s="309">
        <v>393</v>
      </c>
      <c r="Q66" s="61">
        <v>14</v>
      </c>
      <c r="R66" s="57">
        <v>407</v>
      </c>
      <c r="S66" s="61">
        <v>7</v>
      </c>
      <c r="T66" s="61">
        <v>19</v>
      </c>
      <c r="U66" s="61">
        <v>1</v>
      </c>
      <c r="V66" s="309">
        <v>27</v>
      </c>
      <c r="W66" s="61">
        <v>119</v>
      </c>
      <c r="X66" s="57">
        <v>146</v>
      </c>
      <c r="Y66" s="61">
        <v>182</v>
      </c>
      <c r="Z66" s="61">
        <v>0</v>
      </c>
      <c r="AA66" s="61">
        <v>4</v>
      </c>
      <c r="AB66" s="309">
        <v>186</v>
      </c>
      <c r="AC66" s="61">
        <v>87</v>
      </c>
      <c r="AD66" s="57">
        <v>273</v>
      </c>
    </row>
    <row r="67" spans="1:30">
      <c r="A67" s="60"/>
      <c r="B67" s="57"/>
      <c r="C67" s="61"/>
      <c r="D67" s="61"/>
      <c r="E67" s="61"/>
      <c r="F67" s="61"/>
      <c r="G67" s="57"/>
      <c r="H67" s="61"/>
      <c r="I67" s="165"/>
      <c r="J67" s="61"/>
      <c r="K67" s="61"/>
      <c r="L67" s="57"/>
      <c r="M67" s="61"/>
      <c r="N67" s="61"/>
      <c r="O67" s="61"/>
      <c r="P67" s="309"/>
      <c r="Q67" s="61"/>
      <c r="R67" s="57"/>
      <c r="S67" s="61"/>
      <c r="T67" s="61"/>
      <c r="U67" s="61"/>
      <c r="V67" s="309"/>
      <c r="W67" s="61"/>
      <c r="X67" s="57"/>
      <c r="Y67" s="61"/>
      <c r="Z67" s="61"/>
      <c r="AA67" s="61"/>
      <c r="AB67" s="309"/>
      <c r="AC67" s="61"/>
      <c r="AD67" s="57"/>
    </row>
    <row r="68" spans="1:30">
      <c r="A68" s="60" t="s">
        <v>151</v>
      </c>
      <c r="B68" s="57">
        <f>B63-132</f>
        <v>702</v>
      </c>
      <c r="C68" s="61">
        <f>C63-10</f>
        <v>200</v>
      </c>
      <c r="D68" s="61">
        <f>D63-16</f>
        <v>203</v>
      </c>
      <c r="E68" s="61">
        <f>E63-46</f>
        <v>124</v>
      </c>
      <c r="F68" s="61">
        <f>G68-E68-D68-C68</f>
        <v>204</v>
      </c>
      <c r="G68" s="57">
        <v>731</v>
      </c>
      <c r="H68" s="61">
        <v>198</v>
      </c>
      <c r="I68" s="61">
        <v>371</v>
      </c>
      <c r="J68" s="61">
        <v>225</v>
      </c>
      <c r="K68" s="165">
        <v>-45</v>
      </c>
      <c r="L68" s="57">
        <v>749</v>
      </c>
      <c r="M68" s="61">
        <v>171</v>
      </c>
      <c r="N68" s="165">
        <v>-7</v>
      </c>
      <c r="O68" s="165">
        <v>131</v>
      </c>
      <c r="P68" s="309">
        <v>295</v>
      </c>
      <c r="Q68" s="165">
        <v>179</v>
      </c>
      <c r="R68" s="57">
        <v>474</v>
      </c>
      <c r="S68" s="61">
        <v>193</v>
      </c>
      <c r="T68" s="165">
        <v>182</v>
      </c>
      <c r="U68" s="165">
        <v>271</v>
      </c>
      <c r="V68" s="309">
        <v>646</v>
      </c>
      <c r="W68" s="165">
        <v>118</v>
      </c>
      <c r="X68" s="57">
        <v>764</v>
      </c>
      <c r="Y68" s="61">
        <v>130</v>
      </c>
      <c r="Z68" s="165">
        <v>285</v>
      </c>
      <c r="AA68" s="165">
        <v>310</v>
      </c>
      <c r="AB68" s="309">
        <v>725</v>
      </c>
      <c r="AC68" s="165">
        <v>157</v>
      </c>
      <c r="AD68" s="57">
        <v>882</v>
      </c>
    </row>
    <row r="69" spans="1:30" ht="9" customHeight="1">
      <c r="A69" s="62" t="s">
        <v>7</v>
      </c>
      <c r="B69" s="23"/>
      <c r="C69" s="63"/>
      <c r="D69" s="63">
        <f>D68/C68-1</f>
        <v>1.4999999999999902E-2</v>
      </c>
      <c r="E69" s="63">
        <f>E68/D68-1</f>
        <v>-0.38916256157635465</v>
      </c>
      <c r="F69" s="63">
        <f>F68/E68-1</f>
        <v>0.64516129032258074</v>
      </c>
      <c r="G69" s="23"/>
      <c r="H69" s="63">
        <v>-2.9411764705882359E-2</v>
      </c>
      <c r="I69" s="63">
        <v>0.8737373737373737</v>
      </c>
      <c r="J69" s="63">
        <v>-0.39353099730458219</v>
      </c>
      <c r="K69" s="75" t="s">
        <v>34</v>
      </c>
      <c r="L69" s="23"/>
      <c r="M69" s="75" t="s">
        <v>34</v>
      </c>
      <c r="N69" s="75" t="s">
        <v>34</v>
      </c>
      <c r="O69" s="75" t="s">
        <v>34</v>
      </c>
      <c r="P69" s="310"/>
      <c r="Q69" s="63">
        <v>0.36641221374045796</v>
      </c>
      <c r="R69" s="23"/>
      <c r="S69" s="63">
        <v>7.8212290502793325E-2</v>
      </c>
      <c r="T69" s="63">
        <v>-5.6994818652849721E-2</v>
      </c>
      <c r="U69" s="63">
        <v>0.48901098901098905</v>
      </c>
      <c r="V69" s="310"/>
      <c r="W69" s="63">
        <v>-0.56457564575645758</v>
      </c>
      <c r="X69" s="23"/>
      <c r="Y69" s="63">
        <v>0.10169491525423724</v>
      </c>
      <c r="Z69" s="63">
        <v>1.1923076923076925</v>
      </c>
      <c r="AA69" s="63">
        <v>8.7719298245614086E-2</v>
      </c>
      <c r="AB69" s="310"/>
      <c r="AC69" s="63">
        <v>-0.49354838709677418</v>
      </c>
      <c r="AD69" s="23"/>
    </row>
    <row r="70" spans="1:30" ht="10.5" customHeight="1">
      <c r="A70" s="62" t="s">
        <v>8</v>
      </c>
      <c r="B70" s="23"/>
      <c r="C70" s="64"/>
      <c r="D70" s="64"/>
      <c r="E70" s="64"/>
      <c r="F70" s="64"/>
      <c r="G70" s="23">
        <v>4.1310541310541238E-2</v>
      </c>
      <c r="H70" s="64">
        <v>-1.0000000000000009E-2</v>
      </c>
      <c r="I70" s="64">
        <v>0.82758620689655182</v>
      </c>
      <c r="J70" s="64">
        <v>0.81451612903225801</v>
      </c>
      <c r="K70" s="75" t="s">
        <v>34</v>
      </c>
      <c r="L70" s="23">
        <v>2.4623803009576006E-2</v>
      </c>
      <c r="M70" s="64">
        <v>-0.13636363636363635</v>
      </c>
      <c r="N70" s="75" t="s">
        <v>34</v>
      </c>
      <c r="O70" s="64">
        <v>-0.4177777777777778</v>
      </c>
      <c r="P70" s="311"/>
      <c r="Q70" s="75" t="s">
        <v>34</v>
      </c>
      <c r="R70" s="23">
        <v>-0.36715620827770357</v>
      </c>
      <c r="S70" s="64">
        <v>0.12865497076023402</v>
      </c>
      <c r="T70" s="75" t="s">
        <v>34</v>
      </c>
      <c r="U70" s="75" t="s">
        <v>34</v>
      </c>
      <c r="V70" s="311">
        <v>1.1898305084745764</v>
      </c>
      <c r="W70" s="64">
        <v>-0.34078212290502796</v>
      </c>
      <c r="X70" s="23">
        <v>0.61181434599156126</v>
      </c>
      <c r="Y70" s="64">
        <v>-0.32642487046632129</v>
      </c>
      <c r="Z70" s="64">
        <v>0.56593406593406592</v>
      </c>
      <c r="AA70" s="64">
        <v>0.14391143911439119</v>
      </c>
      <c r="AB70" s="311">
        <v>0.12229102167182671</v>
      </c>
      <c r="AC70" s="64">
        <v>0.33050847457627119</v>
      </c>
      <c r="AD70" s="23">
        <v>0.15445026178010468</v>
      </c>
    </row>
    <row r="71" spans="1:30">
      <c r="A71" s="60" t="s">
        <v>198</v>
      </c>
      <c r="B71" s="23"/>
      <c r="C71" s="64"/>
      <c r="D71" s="64"/>
      <c r="E71" s="64"/>
      <c r="F71" s="64"/>
      <c r="G71" s="23"/>
      <c r="H71" s="61">
        <v>33</v>
      </c>
      <c r="I71" s="61">
        <v>29</v>
      </c>
      <c r="J71" s="61">
        <v>28</v>
      </c>
      <c r="K71" s="61">
        <v>9</v>
      </c>
      <c r="L71" s="57">
        <v>99</v>
      </c>
      <c r="M71" s="61">
        <v>34</v>
      </c>
      <c r="N71" s="61">
        <v>27</v>
      </c>
      <c r="O71" s="61">
        <v>25</v>
      </c>
      <c r="P71" s="309">
        <v>86</v>
      </c>
      <c r="Q71" s="61">
        <v>28</v>
      </c>
      <c r="R71" s="57">
        <v>114</v>
      </c>
      <c r="S71" s="61">
        <v>32</v>
      </c>
      <c r="T71" s="61">
        <v>26</v>
      </c>
      <c r="U71" s="61">
        <v>26</v>
      </c>
      <c r="V71" s="309">
        <v>84</v>
      </c>
      <c r="W71" s="61">
        <v>27</v>
      </c>
      <c r="X71" s="57">
        <v>111</v>
      </c>
      <c r="Y71" s="61">
        <v>29</v>
      </c>
      <c r="Z71" s="61">
        <v>24</v>
      </c>
      <c r="AA71" s="61">
        <v>31</v>
      </c>
      <c r="AB71" s="309">
        <v>84</v>
      </c>
      <c r="AC71" s="61">
        <v>32</v>
      </c>
      <c r="AD71" s="57">
        <v>116</v>
      </c>
    </row>
    <row r="72" spans="1:30">
      <c r="A72" s="60"/>
      <c r="B72" s="23"/>
      <c r="C72" s="64"/>
      <c r="D72" s="64"/>
      <c r="E72" s="64"/>
      <c r="F72" s="64"/>
      <c r="G72" s="23"/>
      <c r="H72" s="61"/>
      <c r="I72" s="61"/>
      <c r="J72" s="61"/>
      <c r="K72" s="61"/>
      <c r="L72" s="57"/>
      <c r="M72" s="61"/>
      <c r="N72" s="61"/>
      <c r="O72" s="61"/>
      <c r="P72" s="309"/>
      <c r="Q72" s="61"/>
      <c r="R72" s="57"/>
      <c r="S72" s="61"/>
      <c r="T72" s="61"/>
      <c r="U72" s="61"/>
      <c r="V72" s="309"/>
      <c r="W72" s="61"/>
      <c r="X72" s="57"/>
      <c r="Y72" s="61"/>
      <c r="Z72" s="61"/>
      <c r="AA72" s="61"/>
      <c r="AB72" s="309"/>
      <c r="AC72" s="61"/>
      <c r="AD72" s="57"/>
    </row>
    <row r="73" spans="1:30">
      <c r="A73" s="60" t="s">
        <v>393</v>
      </c>
      <c r="B73" s="57">
        <f>B60-B68</f>
        <v>1362</v>
      </c>
      <c r="C73" s="61">
        <f>C60-C68</f>
        <v>400</v>
      </c>
      <c r="D73" s="61">
        <f>D60-D68</f>
        <v>262</v>
      </c>
      <c r="E73" s="61">
        <f>E60-E68</f>
        <v>449</v>
      </c>
      <c r="F73" s="61">
        <f>G73-E73-D73-C73</f>
        <v>383</v>
      </c>
      <c r="G73" s="57">
        <v>1494</v>
      </c>
      <c r="H73" s="61">
        <v>285</v>
      </c>
      <c r="I73" s="61">
        <v>107</v>
      </c>
      <c r="J73" s="61">
        <v>330</v>
      </c>
      <c r="K73" s="61">
        <v>636</v>
      </c>
      <c r="L73" s="57">
        <v>1358</v>
      </c>
      <c r="M73" s="61">
        <v>266</v>
      </c>
      <c r="N73" s="61">
        <v>396</v>
      </c>
      <c r="O73" s="61">
        <v>328</v>
      </c>
      <c r="P73" s="309">
        <v>990</v>
      </c>
      <c r="Q73" s="61">
        <v>269</v>
      </c>
      <c r="R73" s="57">
        <v>1259</v>
      </c>
      <c r="S73" s="61">
        <v>386</v>
      </c>
      <c r="T73" s="61">
        <v>126</v>
      </c>
      <c r="U73" s="61">
        <v>264</v>
      </c>
      <c r="V73" s="309">
        <v>776</v>
      </c>
      <c r="W73" s="61">
        <v>455</v>
      </c>
      <c r="X73" s="57">
        <v>1231</v>
      </c>
      <c r="Y73" s="61">
        <v>351</v>
      </c>
      <c r="Z73" s="61">
        <v>45</v>
      </c>
      <c r="AA73" s="61">
        <v>226</v>
      </c>
      <c r="AB73" s="309">
        <v>622</v>
      </c>
      <c r="AC73" s="61">
        <v>404</v>
      </c>
      <c r="AD73" s="57">
        <v>1026</v>
      </c>
    </row>
    <row r="74" spans="1:30">
      <c r="A74" s="62" t="s">
        <v>7</v>
      </c>
      <c r="B74" s="23"/>
      <c r="C74" s="63"/>
      <c r="D74" s="63">
        <f>D73/C73-1</f>
        <v>-0.34499999999999997</v>
      </c>
      <c r="E74" s="63">
        <f>E73/D73-1</f>
        <v>0.71374045801526709</v>
      </c>
      <c r="F74" s="63">
        <f>F73/E73-1</f>
        <v>-0.14699331848552344</v>
      </c>
      <c r="G74" s="23"/>
      <c r="H74" s="63">
        <v>-0.25587467362924277</v>
      </c>
      <c r="I74" s="63">
        <v>-0.62456140350877187</v>
      </c>
      <c r="J74" s="63">
        <v>2.0841121495327104</v>
      </c>
      <c r="K74" s="63">
        <v>0.92727272727272725</v>
      </c>
      <c r="L74" s="23"/>
      <c r="M74" s="63">
        <v>-0.58176100628930816</v>
      </c>
      <c r="N74" s="63">
        <v>0.48872180451127822</v>
      </c>
      <c r="O74" s="63">
        <v>-0.17171717171717171</v>
      </c>
      <c r="P74" s="310"/>
      <c r="Q74" s="63">
        <v>-0.17987804878048785</v>
      </c>
      <c r="R74" s="23"/>
      <c r="S74" s="63">
        <v>0.43494423791821557</v>
      </c>
      <c r="T74" s="63">
        <v>-0.67357512953367871</v>
      </c>
      <c r="U74" s="63">
        <v>1.0952380952380953</v>
      </c>
      <c r="V74" s="310"/>
      <c r="W74" s="63">
        <v>0.7234848484848484</v>
      </c>
      <c r="X74" s="23"/>
      <c r="Y74" s="63">
        <v>-0.22857142857142854</v>
      </c>
      <c r="Z74" s="63">
        <v>-0.87179487179487181</v>
      </c>
      <c r="AA74" s="63">
        <v>4.0222222222222221</v>
      </c>
      <c r="AB74" s="310"/>
      <c r="AC74" s="63">
        <v>0.78761061946902644</v>
      </c>
      <c r="AD74" s="23"/>
    </row>
    <row r="75" spans="1:30" ht="10.5" customHeight="1">
      <c r="A75" s="62" t="s">
        <v>8</v>
      </c>
      <c r="B75" s="23"/>
      <c r="C75" s="64"/>
      <c r="D75" s="64"/>
      <c r="E75" s="64"/>
      <c r="F75" s="64"/>
      <c r="G75" s="23">
        <v>9.6916299559471453E-2</v>
      </c>
      <c r="H75" s="64">
        <v>-0.28749999999999998</v>
      </c>
      <c r="I75" s="64">
        <v>-0.59160305343511443</v>
      </c>
      <c r="J75" s="64">
        <v>-0.26503340757238303</v>
      </c>
      <c r="K75" s="64">
        <v>0.66057441253263716</v>
      </c>
      <c r="L75" s="23">
        <v>-9.1030789825970571E-2</v>
      </c>
      <c r="M75" s="64">
        <v>-6.6666666666666652E-2</v>
      </c>
      <c r="N75" s="64">
        <v>2.7009345794392523</v>
      </c>
      <c r="O75" s="64">
        <v>-6.0606060606060996E-3</v>
      </c>
      <c r="P75" s="311"/>
      <c r="Q75" s="64">
        <v>-0.57704402515723263</v>
      </c>
      <c r="R75" s="23">
        <v>-7.2901325478645029E-2</v>
      </c>
      <c r="S75" s="64">
        <v>0.45112781954887216</v>
      </c>
      <c r="T75" s="64">
        <v>-0.68181818181818188</v>
      </c>
      <c r="U75" s="64">
        <v>-0.19512195121951215</v>
      </c>
      <c r="V75" s="311">
        <v>-0.21616161616161611</v>
      </c>
      <c r="W75" s="64">
        <v>0.69144981412639406</v>
      </c>
      <c r="X75" s="23">
        <v>-2.2239872915011949E-2</v>
      </c>
      <c r="Y75" s="64">
        <v>-9.0673575129533668E-2</v>
      </c>
      <c r="Z75" s="64">
        <v>-0.64285714285714279</v>
      </c>
      <c r="AA75" s="64">
        <v>-0.14393939393939392</v>
      </c>
      <c r="AB75" s="311">
        <v>-0.19845360824742264</v>
      </c>
      <c r="AC75" s="64">
        <v>-0.11208791208791213</v>
      </c>
      <c r="AD75" s="23">
        <v>-0.1665312753858651</v>
      </c>
    </row>
    <row r="76" spans="1:30" ht="10.5" customHeight="1">
      <c r="A76" s="329" t="s">
        <v>19</v>
      </c>
      <c r="B76" s="328"/>
      <c r="C76" s="335"/>
      <c r="D76" s="335"/>
      <c r="E76" s="335"/>
      <c r="F76" s="335"/>
      <c r="G76" s="328"/>
      <c r="H76" s="335"/>
      <c r="I76" s="335"/>
      <c r="J76" s="335"/>
      <c r="K76" s="335"/>
      <c r="L76" s="328"/>
      <c r="M76" s="335"/>
      <c r="N76" s="335"/>
      <c r="O76" s="335"/>
      <c r="P76" s="335"/>
      <c r="Q76" s="335"/>
      <c r="R76" s="328"/>
      <c r="S76" s="335"/>
      <c r="T76" s="335"/>
      <c r="U76" s="335"/>
      <c r="V76" s="335"/>
      <c r="W76" s="335"/>
      <c r="X76" s="328"/>
      <c r="Y76" s="335"/>
      <c r="Z76" s="335"/>
      <c r="AA76" s="335"/>
      <c r="AB76" s="335"/>
      <c r="AC76" s="335"/>
      <c r="AD76" s="328"/>
    </row>
    <row r="77" spans="1:30">
      <c r="A77" s="60" t="s">
        <v>31</v>
      </c>
      <c r="B77" s="48">
        <f t="shared" ref="B77:F77" si="0">B48/B7</f>
        <v>0.28108601414556239</v>
      </c>
      <c r="C77" s="68">
        <f t="shared" si="0"/>
        <v>0.29591836734693877</v>
      </c>
      <c r="D77" s="68">
        <f t="shared" si="0"/>
        <v>0.29962192816635158</v>
      </c>
      <c r="E77" s="68">
        <f t="shared" si="0"/>
        <v>0.26013195098963243</v>
      </c>
      <c r="F77" s="68">
        <f t="shared" si="0"/>
        <v>0.24832855778414517</v>
      </c>
      <c r="G77" s="48">
        <v>0.27615457115928371</v>
      </c>
      <c r="H77" s="68">
        <v>0.24741298212605833</v>
      </c>
      <c r="I77" s="68">
        <v>0.18984962406015038</v>
      </c>
      <c r="J77" s="68">
        <v>0.2464046021093001</v>
      </c>
      <c r="K77" s="68">
        <v>-0.15107212475633527</v>
      </c>
      <c r="L77" s="48">
        <v>0.13512869399428026</v>
      </c>
      <c r="M77" s="68">
        <v>0.30776605944391178</v>
      </c>
      <c r="N77" s="68">
        <v>0.55098039215686279</v>
      </c>
      <c r="O77" s="68">
        <v>0.17073170731707318</v>
      </c>
      <c r="P77" s="318">
        <v>0.34261658031088082</v>
      </c>
      <c r="Q77" s="68">
        <v>0.13604060913705585</v>
      </c>
      <c r="R77" s="48">
        <v>0.29265897372943778</v>
      </c>
      <c r="S77" s="68">
        <v>0.28978388998035365</v>
      </c>
      <c r="T77" s="68">
        <v>0.21934865900383141</v>
      </c>
      <c r="U77" s="68">
        <v>0.28790786948176583</v>
      </c>
      <c r="V77" s="318">
        <v>0.2654639175257732</v>
      </c>
      <c r="W77" s="68">
        <v>0.204739336492891</v>
      </c>
      <c r="X77" s="48">
        <v>0.25006011060351047</v>
      </c>
      <c r="Y77" s="68">
        <v>0.37950664136622392</v>
      </c>
      <c r="Z77" s="68">
        <v>0.22906641000962463</v>
      </c>
      <c r="AA77" s="68">
        <v>0.2111861137897782</v>
      </c>
      <c r="AB77" s="318">
        <v>0.27380191693290734</v>
      </c>
      <c r="AC77" s="68">
        <v>0.19581749049429659</v>
      </c>
      <c r="AD77" s="48">
        <v>0.25418460066953613</v>
      </c>
    </row>
    <row r="78" spans="1:30">
      <c r="A78" s="60" t="s">
        <v>10</v>
      </c>
      <c r="B78" s="48">
        <f t="shared" ref="B78:F78" si="1">B53/B7</f>
        <v>0.63723477070499657</v>
      </c>
      <c r="C78" s="68">
        <f t="shared" si="1"/>
        <v>0.6428571428571429</v>
      </c>
      <c r="D78" s="68">
        <f t="shared" si="1"/>
        <v>0.63610586011342152</v>
      </c>
      <c r="E78" s="68">
        <f t="shared" si="1"/>
        <v>0.63901979264844488</v>
      </c>
      <c r="F78" s="68">
        <f t="shared" si="1"/>
        <v>0.62559694364851959</v>
      </c>
      <c r="G78" s="48">
        <v>0.63595664467483504</v>
      </c>
      <c r="H78" s="68">
        <v>0.63687676387582315</v>
      </c>
      <c r="I78" s="68">
        <v>0.56203007518796988</v>
      </c>
      <c r="J78" s="68">
        <v>0.64141898370086292</v>
      </c>
      <c r="K78" s="68">
        <v>0.12670565302144249</v>
      </c>
      <c r="L78" s="48">
        <v>0.49428026692087701</v>
      </c>
      <c r="M78" s="68">
        <v>0.70757430488974116</v>
      </c>
      <c r="N78" s="68">
        <v>1.057843137254902</v>
      </c>
      <c r="O78" s="68">
        <v>0.64878048780487807</v>
      </c>
      <c r="P78" s="318">
        <v>0.80375647668393779</v>
      </c>
      <c r="Q78" s="68">
        <v>0.52893401015228425</v>
      </c>
      <c r="R78" s="48">
        <v>0.73729437760864225</v>
      </c>
      <c r="S78" s="68">
        <v>0.63948919449901764</v>
      </c>
      <c r="T78" s="68">
        <v>0.65325670498084287</v>
      </c>
      <c r="U78" s="68">
        <v>0.64107485604606529</v>
      </c>
      <c r="V78" s="318">
        <v>0.64465206185567014</v>
      </c>
      <c r="W78" s="68">
        <v>0.55071090047393367</v>
      </c>
      <c r="X78" s="48">
        <v>0.62082231305602309</v>
      </c>
      <c r="Y78" s="68">
        <v>0.77419354838709675</v>
      </c>
      <c r="Z78" s="68">
        <v>0.61405197305101056</v>
      </c>
      <c r="AA78" s="68">
        <v>0.60655737704918034</v>
      </c>
      <c r="AB78" s="318">
        <v>0.66549520766773163</v>
      </c>
      <c r="AC78" s="68">
        <v>0.57319391634980987</v>
      </c>
      <c r="AD78" s="48">
        <v>0.64227642276422769</v>
      </c>
    </row>
    <row r="79" spans="1:30">
      <c r="A79" s="60" t="s">
        <v>18</v>
      </c>
      <c r="B79" s="48">
        <f t="shared" ref="B79:F79" si="2">B63/B7</f>
        <v>0.19028062970568105</v>
      </c>
      <c r="C79" s="68">
        <f t="shared" si="2"/>
        <v>0.19480519480519481</v>
      </c>
      <c r="D79" s="68">
        <f t="shared" si="2"/>
        <v>0.20699432892249528</v>
      </c>
      <c r="E79" s="68">
        <f t="shared" si="2"/>
        <v>0.16022620169651272</v>
      </c>
      <c r="F79" s="68">
        <f t="shared" si="2"/>
        <v>0.21585482330468003</v>
      </c>
      <c r="G79" s="48">
        <v>0.19439208294062205</v>
      </c>
      <c r="H79" s="68">
        <v>0.19285042333019756</v>
      </c>
      <c r="I79" s="68">
        <v>0.29417293233082709</v>
      </c>
      <c r="J79" s="68">
        <v>0.2233940556088207</v>
      </c>
      <c r="K79" s="68">
        <v>0.21929824561403508</v>
      </c>
      <c r="L79" s="48">
        <v>0.23260247855100094</v>
      </c>
      <c r="M79" s="68">
        <v>0.20134228187919462</v>
      </c>
      <c r="N79" s="68">
        <v>0.32647058823529412</v>
      </c>
      <c r="O79" s="68">
        <v>0.14146341463414633</v>
      </c>
      <c r="P79" s="318">
        <v>0.22279792746113988</v>
      </c>
      <c r="Q79" s="68">
        <v>0.19593908629441625</v>
      </c>
      <c r="R79" s="48">
        <v>0.21630247974465996</v>
      </c>
      <c r="S79" s="68">
        <v>0.19646365422396855</v>
      </c>
      <c r="T79" s="68">
        <v>0.19252873563218389</v>
      </c>
      <c r="U79" s="68">
        <v>0.26103646833013433</v>
      </c>
      <c r="V79" s="318">
        <v>0.21681701030927836</v>
      </c>
      <c r="W79" s="68">
        <v>0.22464454976303316</v>
      </c>
      <c r="X79" s="48">
        <v>0.21880259677807165</v>
      </c>
      <c r="Y79" s="68">
        <v>0.29601518026565465</v>
      </c>
      <c r="Z79" s="68">
        <v>0.27430221366698748</v>
      </c>
      <c r="AA79" s="68">
        <v>0.30279652844744454</v>
      </c>
      <c r="AB79" s="318">
        <v>0.29105431309904151</v>
      </c>
      <c r="AC79" s="68">
        <v>0.23193916349809887</v>
      </c>
      <c r="AD79" s="48">
        <v>0.27618364418938307</v>
      </c>
    </row>
    <row r="80" spans="1:30" ht="3.75" customHeight="1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spans="1:30" ht="29.25" customHeight="1">
      <c r="A81" s="33" t="s">
        <v>372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>
      <c r="A82" s="328" t="s">
        <v>61</v>
      </c>
      <c r="B82" s="322"/>
      <c r="C82" s="316"/>
      <c r="D82" s="316"/>
      <c r="E82" s="316"/>
      <c r="F82" s="316"/>
      <c r="G82" s="322"/>
      <c r="H82" s="316"/>
      <c r="I82" s="316"/>
      <c r="J82" s="316"/>
      <c r="K82" s="316"/>
      <c r="L82" s="322"/>
      <c r="M82" s="316"/>
      <c r="N82" s="316"/>
      <c r="O82" s="316"/>
      <c r="P82" s="316"/>
      <c r="Q82" s="316"/>
      <c r="R82" s="322"/>
      <c r="S82" s="316"/>
      <c r="T82" s="316"/>
      <c r="U82" s="316"/>
      <c r="V82" s="316"/>
      <c r="W82" s="316"/>
      <c r="X82" s="322"/>
      <c r="Y82" s="316"/>
      <c r="Z82" s="316"/>
      <c r="AA82" s="316"/>
      <c r="AB82" s="316"/>
      <c r="AC82" s="316"/>
      <c r="AD82" s="322"/>
    </row>
    <row r="83" spans="1:30">
      <c r="A83" s="60" t="s">
        <v>223</v>
      </c>
      <c r="B83" s="35">
        <f>B86+B89+B92+B95+B98+B101</f>
        <v>705</v>
      </c>
      <c r="C83" s="61">
        <f>C86+C89+C92+C95+C98+C101</f>
        <v>165</v>
      </c>
      <c r="D83" s="61">
        <f>D86+D89+D92+D95+D98+D101</f>
        <v>166</v>
      </c>
      <c r="E83" s="61">
        <f>E86+E89+E92+E95+E98+E101</f>
        <v>183</v>
      </c>
      <c r="F83" s="61">
        <f>G83-C83-D83-E83</f>
        <v>163</v>
      </c>
      <c r="G83" s="35">
        <v>677</v>
      </c>
      <c r="H83" s="61">
        <v>140</v>
      </c>
      <c r="I83" s="61">
        <v>145</v>
      </c>
      <c r="J83" s="61">
        <v>143</v>
      </c>
      <c r="K83" s="61">
        <v>168</v>
      </c>
      <c r="L83" s="35">
        <v>596</v>
      </c>
      <c r="M83" s="61">
        <v>141</v>
      </c>
      <c r="N83" s="61">
        <v>133</v>
      </c>
      <c r="O83" s="61">
        <v>144</v>
      </c>
      <c r="P83" s="309">
        <v>418</v>
      </c>
      <c r="Q83" s="61">
        <v>147</v>
      </c>
      <c r="R83" s="35">
        <v>565</v>
      </c>
      <c r="S83" s="61">
        <v>142</v>
      </c>
      <c r="T83" s="61">
        <v>140</v>
      </c>
      <c r="U83" s="61">
        <v>154</v>
      </c>
      <c r="V83" s="309">
        <v>436</v>
      </c>
      <c r="W83" s="61">
        <v>154</v>
      </c>
      <c r="X83" s="35">
        <v>590</v>
      </c>
      <c r="Y83" s="61">
        <v>155</v>
      </c>
      <c r="Z83" s="61">
        <v>162</v>
      </c>
      <c r="AA83" s="61">
        <v>163</v>
      </c>
      <c r="AB83" s="309">
        <v>480</v>
      </c>
      <c r="AC83" s="61">
        <v>187</v>
      </c>
      <c r="AD83" s="35">
        <v>667</v>
      </c>
    </row>
    <row r="84" spans="1:30">
      <c r="A84" s="62" t="s">
        <v>7</v>
      </c>
      <c r="B84" s="23"/>
      <c r="C84" s="63"/>
      <c r="D84" s="63">
        <f>D83/C83-1</f>
        <v>6.0606060606060996E-3</v>
      </c>
      <c r="E84" s="63">
        <f>E83/D83-1</f>
        <v>0.10240963855421681</v>
      </c>
      <c r="F84" s="63">
        <f>F83/E83-1</f>
        <v>-0.10928961748633881</v>
      </c>
      <c r="G84" s="23"/>
      <c r="H84" s="63">
        <v>-0.14110429447852757</v>
      </c>
      <c r="I84" s="63">
        <v>3.5714285714285809E-2</v>
      </c>
      <c r="J84" s="63">
        <v>-1.379310344827589E-2</v>
      </c>
      <c r="K84" s="63">
        <v>0.17482517482517479</v>
      </c>
      <c r="L84" s="23"/>
      <c r="M84" s="63">
        <v>-0.1607142857142857</v>
      </c>
      <c r="N84" s="63">
        <v>-5.673758865248224E-2</v>
      </c>
      <c r="O84" s="63">
        <v>8.2706766917293173E-2</v>
      </c>
      <c r="P84" s="310"/>
      <c r="Q84" s="63">
        <v>2.0833333333333259E-2</v>
      </c>
      <c r="R84" s="23"/>
      <c r="S84" s="63">
        <v>-3.4013605442176909E-2</v>
      </c>
      <c r="T84" s="63">
        <v>-1.4084507042253502E-2</v>
      </c>
      <c r="U84" s="63">
        <v>0.10000000000000009</v>
      </c>
      <c r="V84" s="310"/>
      <c r="W84" s="63">
        <v>0</v>
      </c>
      <c r="X84" s="23"/>
      <c r="Y84" s="63">
        <v>6.4935064935065512E-3</v>
      </c>
      <c r="Z84" s="63">
        <v>4.5161290322580649E-2</v>
      </c>
      <c r="AA84" s="63">
        <v>6.1728395061728669E-3</v>
      </c>
      <c r="AB84" s="310"/>
      <c r="AC84" s="63">
        <v>0.14723926380368102</v>
      </c>
      <c r="AD84" s="23"/>
    </row>
    <row r="85" spans="1:30">
      <c r="A85" s="62" t="s">
        <v>8</v>
      </c>
      <c r="B85" s="23"/>
      <c r="C85" s="64"/>
      <c r="D85" s="64"/>
      <c r="E85" s="64"/>
      <c r="F85" s="64"/>
      <c r="G85" s="23">
        <v>-3.9716312056737535E-2</v>
      </c>
      <c r="H85" s="64">
        <v>-0.15151515151515149</v>
      </c>
      <c r="I85" s="64">
        <v>-0.12650602409638556</v>
      </c>
      <c r="J85" s="64">
        <v>-0.21857923497267762</v>
      </c>
      <c r="K85" s="64">
        <v>3.0674846625766916E-2</v>
      </c>
      <c r="L85" s="23">
        <v>-0.11964549483013298</v>
      </c>
      <c r="M85" s="64">
        <v>7.1428571428571175E-3</v>
      </c>
      <c r="N85" s="64">
        <v>-8.2758620689655227E-2</v>
      </c>
      <c r="O85" s="64">
        <v>6.9930069930070893E-3</v>
      </c>
      <c r="P85" s="311"/>
      <c r="Q85" s="64">
        <v>-0.125</v>
      </c>
      <c r="R85" s="23">
        <v>-5.2013422818791955E-2</v>
      </c>
      <c r="S85" s="64">
        <v>7.0921985815601829E-3</v>
      </c>
      <c r="T85" s="64">
        <v>5.2631578947368363E-2</v>
      </c>
      <c r="U85" s="64">
        <v>6.944444444444442E-2</v>
      </c>
      <c r="V85" s="311">
        <v>4.3062200956937691E-2</v>
      </c>
      <c r="W85" s="64">
        <v>4.7619047619047672E-2</v>
      </c>
      <c r="X85" s="23">
        <v>4.4247787610619538E-2</v>
      </c>
      <c r="Y85" s="64">
        <v>9.1549295774647987E-2</v>
      </c>
      <c r="Z85" s="64">
        <v>0.15714285714285725</v>
      </c>
      <c r="AA85" s="64">
        <v>5.8441558441558517E-2</v>
      </c>
      <c r="AB85" s="311">
        <v>0.10091743119266061</v>
      </c>
      <c r="AC85" s="64">
        <v>0.21428571428571419</v>
      </c>
      <c r="AD85" s="23">
        <v>0.13050847457627124</v>
      </c>
    </row>
    <row r="86" spans="1:30">
      <c r="A86" s="60" t="s">
        <v>64</v>
      </c>
      <c r="B86" s="35">
        <v>189</v>
      </c>
      <c r="C86" s="61">
        <v>47</v>
      </c>
      <c r="D86" s="61">
        <v>45</v>
      </c>
      <c r="E86" s="61">
        <v>49</v>
      </c>
      <c r="F86" s="131">
        <f>G86-C86-D86-E86</f>
        <v>44</v>
      </c>
      <c r="G86" s="35">
        <v>185</v>
      </c>
      <c r="H86" s="61">
        <v>34</v>
      </c>
      <c r="I86" s="61">
        <v>31</v>
      </c>
      <c r="J86" s="61">
        <v>38</v>
      </c>
      <c r="K86" s="131">
        <v>40</v>
      </c>
      <c r="L86" s="35">
        <v>143</v>
      </c>
      <c r="M86" s="61">
        <v>33</v>
      </c>
      <c r="N86" s="61">
        <v>30</v>
      </c>
      <c r="O86" s="61">
        <v>35</v>
      </c>
      <c r="P86" s="309">
        <v>98</v>
      </c>
      <c r="Q86" s="131">
        <v>34</v>
      </c>
      <c r="R86" s="35">
        <v>132</v>
      </c>
      <c r="S86" s="61">
        <v>30</v>
      </c>
      <c r="T86" s="61">
        <v>21</v>
      </c>
      <c r="U86" s="61">
        <v>32</v>
      </c>
      <c r="V86" s="309">
        <v>83</v>
      </c>
      <c r="W86" s="131">
        <v>30</v>
      </c>
      <c r="X86" s="35">
        <v>113</v>
      </c>
      <c r="Y86" s="61">
        <v>27</v>
      </c>
      <c r="Z86" s="61">
        <v>27</v>
      </c>
      <c r="AA86" s="61">
        <v>30</v>
      </c>
      <c r="AB86" s="309">
        <v>84</v>
      </c>
      <c r="AC86" s="131">
        <v>27</v>
      </c>
      <c r="AD86" s="35">
        <v>111</v>
      </c>
    </row>
    <row r="87" spans="1:30">
      <c r="A87" s="62" t="s">
        <v>7</v>
      </c>
      <c r="B87" s="23"/>
      <c r="C87" s="63"/>
      <c r="D87" s="63">
        <f>D86/C86-1</f>
        <v>-4.2553191489361653E-2</v>
      </c>
      <c r="E87" s="63">
        <f>E86/D86-1</f>
        <v>8.8888888888888795E-2</v>
      </c>
      <c r="F87" s="63">
        <f>F86/E86-1</f>
        <v>-0.10204081632653061</v>
      </c>
      <c r="G87" s="23"/>
      <c r="H87" s="63">
        <v>-0.22727272727272729</v>
      </c>
      <c r="I87" s="63">
        <v>-8.8235294117647078E-2</v>
      </c>
      <c r="J87" s="63">
        <v>0.22580645161290325</v>
      </c>
      <c r="K87" s="63">
        <v>5.2631578947368363E-2</v>
      </c>
      <c r="L87" s="23"/>
      <c r="M87" s="63">
        <v>-0.17500000000000004</v>
      </c>
      <c r="N87" s="63">
        <v>-9.0909090909090939E-2</v>
      </c>
      <c r="O87" s="63">
        <v>0.16666666666666674</v>
      </c>
      <c r="P87" s="310"/>
      <c r="Q87" s="63">
        <v>-2.8571428571428581E-2</v>
      </c>
      <c r="R87" s="23"/>
      <c r="S87" s="63">
        <v>-0.11764705882352944</v>
      </c>
      <c r="T87" s="63">
        <v>-0.30000000000000004</v>
      </c>
      <c r="U87" s="63">
        <v>0.52380952380952372</v>
      </c>
      <c r="V87" s="310"/>
      <c r="W87" s="63">
        <v>-6.25E-2</v>
      </c>
      <c r="X87" s="23"/>
      <c r="Y87" s="63">
        <v>-9.9999999999999978E-2</v>
      </c>
      <c r="Z87" s="63">
        <v>0</v>
      </c>
      <c r="AA87" s="63">
        <v>0.11111111111111116</v>
      </c>
      <c r="AB87" s="310"/>
      <c r="AC87" s="63">
        <v>-9.9999999999999978E-2</v>
      </c>
      <c r="AD87" s="23"/>
    </row>
    <row r="88" spans="1:30">
      <c r="A88" s="62" t="s">
        <v>8</v>
      </c>
      <c r="B88" s="23"/>
      <c r="C88" s="64"/>
      <c r="D88" s="64"/>
      <c r="E88" s="64"/>
      <c r="F88" s="64"/>
      <c r="G88" s="23">
        <v>-2.1164021164021163E-2</v>
      </c>
      <c r="H88" s="64">
        <v>-0.27659574468085102</v>
      </c>
      <c r="I88" s="64">
        <v>-0.31111111111111112</v>
      </c>
      <c r="J88" s="64">
        <v>-0.22448979591836737</v>
      </c>
      <c r="K88" s="64">
        <v>-9.0909090909090939E-2</v>
      </c>
      <c r="L88" s="23">
        <v>-0.22702702702702704</v>
      </c>
      <c r="M88" s="64">
        <v>-2.9411764705882359E-2</v>
      </c>
      <c r="N88" s="64">
        <v>-3.2258064516129004E-2</v>
      </c>
      <c r="O88" s="64">
        <v>-7.8947368421052655E-2</v>
      </c>
      <c r="P88" s="311"/>
      <c r="Q88" s="64">
        <v>-0.15000000000000002</v>
      </c>
      <c r="R88" s="23">
        <v>-7.6923076923076872E-2</v>
      </c>
      <c r="S88" s="64">
        <v>-9.0909090909090939E-2</v>
      </c>
      <c r="T88" s="64">
        <v>-0.30000000000000004</v>
      </c>
      <c r="U88" s="64">
        <v>-8.5714285714285743E-2</v>
      </c>
      <c r="V88" s="311">
        <v>-0.15306122448979587</v>
      </c>
      <c r="W88" s="64">
        <v>-0.11764705882352944</v>
      </c>
      <c r="X88" s="23">
        <v>-0.14393939393939392</v>
      </c>
      <c r="Y88" s="64">
        <v>-9.9999999999999978E-2</v>
      </c>
      <c r="Z88" s="64">
        <v>0.28571428571428581</v>
      </c>
      <c r="AA88" s="64">
        <v>-6.25E-2</v>
      </c>
      <c r="AB88" s="311">
        <v>1.2048192771084265E-2</v>
      </c>
      <c r="AC88" s="64">
        <v>-9.9999999999999978E-2</v>
      </c>
      <c r="AD88" s="23">
        <v>-1.7699115044247815E-2</v>
      </c>
    </row>
    <row r="89" spans="1:30">
      <c r="A89" s="60" t="s">
        <v>62</v>
      </c>
      <c r="B89" s="35">
        <v>130</v>
      </c>
      <c r="C89" s="61">
        <v>31</v>
      </c>
      <c r="D89" s="61">
        <v>29</v>
      </c>
      <c r="E89" s="61">
        <v>31</v>
      </c>
      <c r="F89" s="61">
        <f>G89-C89-D89-E89</f>
        <v>27</v>
      </c>
      <c r="G89" s="35">
        <v>118</v>
      </c>
      <c r="H89" s="61">
        <v>28</v>
      </c>
      <c r="I89" s="61">
        <v>27</v>
      </c>
      <c r="J89" s="61">
        <v>25</v>
      </c>
      <c r="K89" s="61">
        <v>28</v>
      </c>
      <c r="L89" s="35">
        <v>108</v>
      </c>
      <c r="M89" s="61">
        <v>25</v>
      </c>
      <c r="N89" s="61">
        <v>24</v>
      </c>
      <c r="O89" s="61">
        <v>25</v>
      </c>
      <c r="P89" s="309">
        <v>74</v>
      </c>
      <c r="Q89" s="61">
        <v>23</v>
      </c>
      <c r="R89" s="35">
        <v>97</v>
      </c>
      <c r="S89" s="61">
        <v>25</v>
      </c>
      <c r="T89" s="61">
        <v>30</v>
      </c>
      <c r="U89" s="61">
        <v>30</v>
      </c>
      <c r="V89" s="309">
        <v>85</v>
      </c>
      <c r="W89" s="61">
        <v>30</v>
      </c>
      <c r="X89" s="35">
        <v>115</v>
      </c>
      <c r="Y89" s="61">
        <v>28</v>
      </c>
      <c r="Z89" s="61">
        <v>25</v>
      </c>
      <c r="AA89" s="61">
        <v>23</v>
      </c>
      <c r="AB89" s="309">
        <v>76</v>
      </c>
      <c r="AC89" s="61">
        <v>28</v>
      </c>
      <c r="AD89" s="35">
        <v>104</v>
      </c>
    </row>
    <row r="90" spans="1:30">
      <c r="A90" s="62" t="s">
        <v>7</v>
      </c>
      <c r="B90" s="23"/>
      <c r="C90" s="63"/>
      <c r="D90" s="63">
        <f>D89/C89-1</f>
        <v>-6.4516129032258118E-2</v>
      </c>
      <c r="E90" s="63">
        <f>E89/D89-1</f>
        <v>6.8965517241379226E-2</v>
      </c>
      <c r="F90" s="63">
        <f>F89/E89-1</f>
        <v>-0.12903225806451613</v>
      </c>
      <c r="G90" s="23"/>
      <c r="H90" s="63">
        <v>3.7037037037036979E-2</v>
      </c>
      <c r="I90" s="63">
        <v>-3.5714285714285698E-2</v>
      </c>
      <c r="J90" s="63">
        <v>-7.407407407407407E-2</v>
      </c>
      <c r="K90" s="63">
        <v>0.12000000000000011</v>
      </c>
      <c r="L90" s="23"/>
      <c r="M90" s="63">
        <v>-0.1071428571428571</v>
      </c>
      <c r="N90" s="63">
        <v>-4.0000000000000036E-2</v>
      </c>
      <c r="O90" s="63">
        <v>4.1666666666666741E-2</v>
      </c>
      <c r="P90" s="310"/>
      <c r="Q90" s="63">
        <v>-7.999999999999996E-2</v>
      </c>
      <c r="R90" s="23"/>
      <c r="S90" s="63">
        <v>8.6956521739130377E-2</v>
      </c>
      <c r="T90" s="63">
        <v>0.19999999999999996</v>
      </c>
      <c r="U90" s="63">
        <v>0</v>
      </c>
      <c r="V90" s="310"/>
      <c r="W90" s="63">
        <v>0</v>
      </c>
      <c r="X90" s="23"/>
      <c r="Y90" s="63">
        <v>-6.6666666666666652E-2</v>
      </c>
      <c r="Z90" s="63">
        <v>-0.1071428571428571</v>
      </c>
      <c r="AA90" s="63">
        <v>-7.999999999999996E-2</v>
      </c>
      <c r="AB90" s="310"/>
      <c r="AC90" s="63">
        <v>0.21739130434782616</v>
      </c>
      <c r="AD90" s="23"/>
    </row>
    <row r="91" spans="1:30">
      <c r="A91" s="62" t="s">
        <v>8</v>
      </c>
      <c r="B91" s="23"/>
      <c r="C91" s="64"/>
      <c r="D91" s="64"/>
      <c r="E91" s="64"/>
      <c r="F91" s="64"/>
      <c r="G91" s="23">
        <v>-9.2307692307692313E-2</v>
      </c>
      <c r="H91" s="64">
        <v>-9.6774193548387122E-2</v>
      </c>
      <c r="I91" s="64">
        <v>-6.8965517241379337E-2</v>
      </c>
      <c r="J91" s="64">
        <v>-0.19354838709677424</v>
      </c>
      <c r="K91" s="64">
        <v>3.7037037037036979E-2</v>
      </c>
      <c r="L91" s="23">
        <v>-8.4745762711864403E-2</v>
      </c>
      <c r="M91" s="64">
        <v>-0.1071428571428571</v>
      </c>
      <c r="N91" s="64">
        <v>-0.11111111111111116</v>
      </c>
      <c r="O91" s="64">
        <v>0</v>
      </c>
      <c r="P91" s="311"/>
      <c r="Q91" s="64">
        <v>-0.1785714285714286</v>
      </c>
      <c r="R91" s="23">
        <v>-0.10185185185185186</v>
      </c>
      <c r="S91" s="64">
        <v>0</v>
      </c>
      <c r="T91" s="64">
        <v>0.25</v>
      </c>
      <c r="U91" s="64">
        <v>0.19999999999999996</v>
      </c>
      <c r="V91" s="311">
        <v>0.14864864864864868</v>
      </c>
      <c r="W91" s="64">
        <v>0.30434782608695654</v>
      </c>
      <c r="X91" s="23">
        <v>0.18556701030927836</v>
      </c>
      <c r="Y91" s="64">
        <v>0.12000000000000011</v>
      </c>
      <c r="Z91" s="64">
        <v>-0.16666666666666663</v>
      </c>
      <c r="AA91" s="64">
        <v>-0.23333333333333328</v>
      </c>
      <c r="AB91" s="311">
        <v>-0.10588235294117643</v>
      </c>
      <c r="AC91" s="64">
        <v>-6.6666666666666652E-2</v>
      </c>
      <c r="AD91" s="23">
        <v>-9.5652173913043481E-2</v>
      </c>
    </row>
    <row r="92" spans="1:30">
      <c r="A92" s="60" t="s">
        <v>71</v>
      </c>
      <c r="B92" s="35">
        <v>195</v>
      </c>
      <c r="C92" s="61">
        <v>42</v>
      </c>
      <c r="D92" s="61">
        <v>44</v>
      </c>
      <c r="E92" s="61">
        <v>54</v>
      </c>
      <c r="F92" s="61">
        <f>G92-C92-D92-E92</f>
        <v>48</v>
      </c>
      <c r="G92" s="35">
        <v>188</v>
      </c>
      <c r="H92" s="61">
        <v>40</v>
      </c>
      <c r="I92" s="61">
        <v>49</v>
      </c>
      <c r="J92" s="61">
        <v>42</v>
      </c>
      <c r="K92" s="61">
        <v>52</v>
      </c>
      <c r="L92" s="35">
        <v>183</v>
      </c>
      <c r="M92" s="61">
        <v>39</v>
      </c>
      <c r="N92" s="61">
        <v>34</v>
      </c>
      <c r="O92" s="61">
        <v>37</v>
      </c>
      <c r="P92" s="309">
        <v>110</v>
      </c>
      <c r="Q92" s="61">
        <v>36</v>
      </c>
      <c r="R92" s="35">
        <v>146</v>
      </c>
      <c r="S92" s="61">
        <v>39</v>
      </c>
      <c r="T92" s="61">
        <v>41</v>
      </c>
      <c r="U92" s="61">
        <v>41</v>
      </c>
      <c r="V92" s="309">
        <v>121</v>
      </c>
      <c r="W92" s="61">
        <v>38</v>
      </c>
      <c r="X92" s="35">
        <v>159</v>
      </c>
      <c r="Y92" s="61">
        <v>40</v>
      </c>
      <c r="Z92" s="61">
        <v>51</v>
      </c>
      <c r="AA92" s="61">
        <v>48</v>
      </c>
      <c r="AB92" s="309">
        <v>139</v>
      </c>
      <c r="AC92" s="61">
        <v>48</v>
      </c>
      <c r="AD92" s="35">
        <v>187</v>
      </c>
    </row>
    <row r="93" spans="1:30">
      <c r="A93" s="62" t="s">
        <v>7</v>
      </c>
      <c r="B93" s="23"/>
      <c r="C93" s="63"/>
      <c r="D93" s="63">
        <f>D92/C92-1</f>
        <v>4.7619047619047672E-2</v>
      </c>
      <c r="E93" s="63">
        <f>E92/D92-1</f>
        <v>0.22727272727272729</v>
      </c>
      <c r="F93" s="63">
        <f>F92/E92-1</f>
        <v>-0.11111111111111116</v>
      </c>
      <c r="G93" s="23"/>
      <c r="H93" s="63">
        <v>-0.16666666666666663</v>
      </c>
      <c r="I93" s="63">
        <v>0.22500000000000009</v>
      </c>
      <c r="J93" s="63">
        <v>-0.1428571428571429</v>
      </c>
      <c r="K93" s="63">
        <v>0.23809523809523814</v>
      </c>
      <c r="L93" s="23"/>
      <c r="M93" s="63">
        <v>-0.25</v>
      </c>
      <c r="N93" s="63">
        <v>-0.12820512820512819</v>
      </c>
      <c r="O93" s="63">
        <v>8.8235294117646967E-2</v>
      </c>
      <c r="P93" s="310"/>
      <c r="Q93" s="63">
        <v>-2.7027027027026973E-2</v>
      </c>
      <c r="R93" s="23"/>
      <c r="S93" s="63">
        <v>8.3333333333333259E-2</v>
      </c>
      <c r="T93" s="63">
        <v>5.1282051282051322E-2</v>
      </c>
      <c r="U93" s="63">
        <v>0</v>
      </c>
      <c r="V93" s="310"/>
      <c r="W93" s="63">
        <v>-7.3170731707317027E-2</v>
      </c>
      <c r="X93" s="23"/>
      <c r="Y93" s="63">
        <v>5.2631578947368363E-2</v>
      </c>
      <c r="Z93" s="63">
        <v>0.27499999999999991</v>
      </c>
      <c r="AA93" s="63">
        <v>-5.8823529411764719E-2</v>
      </c>
      <c r="AB93" s="310"/>
      <c r="AC93" s="63">
        <v>0</v>
      </c>
      <c r="AD93" s="23"/>
    </row>
    <row r="94" spans="1:30">
      <c r="A94" s="62" t="s">
        <v>8</v>
      </c>
      <c r="B94" s="23"/>
      <c r="C94" s="64"/>
      <c r="D94" s="64"/>
      <c r="E94" s="64"/>
      <c r="F94" s="64"/>
      <c r="G94" s="23">
        <v>-3.5897435897435881E-2</v>
      </c>
      <c r="H94" s="64">
        <v>-4.7619047619047672E-2</v>
      </c>
      <c r="I94" s="64">
        <v>0.11363636363636354</v>
      </c>
      <c r="J94" s="64">
        <v>-0.22222222222222221</v>
      </c>
      <c r="K94" s="64">
        <v>8.3333333333333259E-2</v>
      </c>
      <c r="L94" s="23">
        <v>-2.6595744680851019E-2</v>
      </c>
      <c r="M94" s="64">
        <v>-2.5000000000000022E-2</v>
      </c>
      <c r="N94" s="64">
        <v>-0.30612244897959184</v>
      </c>
      <c r="O94" s="64">
        <v>-0.11904761904761907</v>
      </c>
      <c r="P94" s="311"/>
      <c r="Q94" s="64">
        <v>-0.30769230769230771</v>
      </c>
      <c r="R94" s="23">
        <v>-0.20218579234972678</v>
      </c>
      <c r="S94" s="64">
        <v>0</v>
      </c>
      <c r="T94" s="64">
        <v>0.20588235294117641</v>
      </c>
      <c r="U94" s="64">
        <v>0.10810810810810811</v>
      </c>
      <c r="V94" s="311">
        <v>0.10000000000000009</v>
      </c>
      <c r="W94" s="64">
        <v>5.555555555555558E-2</v>
      </c>
      <c r="X94" s="23">
        <v>8.9041095890410871E-2</v>
      </c>
      <c r="Y94" s="64">
        <v>2.564102564102555E-2</v>
      </c>
      <c r="Z94" s="64">
        <v>0.24390243902439024</v>
      </c>
      <c r="AA94" s="64">
        <v>0.1707317073170731</v>
      </c>
      <c r="AB94" s="311">
        <v>0.14876033057851235</v>
      </c>
      <c r="AC94" s="64">
        <v>0.26315789473684204</v>
      </c>
      <c r="AD94" s="23">
        <v>0.17610062893081757</v>
      </c>
    </row>
    <row r="95" spans="1:30">
      <c r="A95" s="60" t="s">
        <v>63</v>
      </c>
      <c r="B95" s="35">
        <v>47</v>
      </c>
      <c r="C95" s="61">
        <v>10</v>
      </c>
      <c r="D95" s="61">
        <v>12</v>
      </c>
      <c r="E95" s="61">
        <v>12</v>
      </c>
      <c r="F95" s="61">
        <f>G95-C95-D95-E95</f>
        <v>10</v>
      </c>
      <c r="G95" s="35">
        <v>44</v>
      </c>
      <c r="H95" s="61">
        <v>11</v>
      </c>
      <c r="I95" s="61">
        <v>10</v>
      </c>
      <c r="J95" s="61">
        <v>9</v>
      </c>
      <c r="K95" s="61">
        <v>12</v>
      </c>
      <c r="L95" s="35">
        <v>42</v>
      </c>
      <c r="M95" s="61">
        <v>18</v>
      </c>
      <c r="N95" s="61">
        <v>17</v>
      </c>
      <c r="O95" s="61">
        <v>17</v>
      </c>
      <c r="P95" s="309">
        <v>52</v>
      </c>
      <c r="Q95" s="61">
        <v>21</v>
      </c>
      <c r="R95" s="35">
        <v>73</v>
      </c>
      <c r="S95" s="61">
        <v>20</v>
      </c>
      <c r="T95" s="61">
        <v>20</v>
      </c>
      <c r="U95" s="61">
        <v>19</v>
      </c>
      <c r="V95" s="309">
        <v>59</v>
      </c>
      <c r="W95" s="61">
        <v>21</v>
      </c>
      <c r="X95" s="35">
        <v>80</v>
      </c>
      <c r="Y95" s="61">
        <v>23</v>
      </c>
      <c r="Z95" s="61">
        <v>24</v>
      </c>
      <c r="AA95" s="61">
        <v>20</v>
      </c>
      <c r="AB95" s="309">
        <v>67</v>
      </c>
      <c r="AC95" s="61">
        <v>29</v>
      </c>
      <c r="AD95" s="35">
        <v>96</v>
      </c>
    </row>
    <row r="96" spans="1:30">
      <c r="A96" s="62" t="s">
        <v>7</v>
      </c>
      <c r="B96" s="23"/>
      <c r="C96" s="63"/>
      <c r="D96" s="63">
        <f>D95/C95-1</f>
        <v>0.19999999999999996</v>
      </c>
      <c r="E96" s="63">
        <f>E95/D95-1</f>
        <v>0</v>
      </c>
      <c r="F96" s="63">
        <f>F95/E95-1</f>
        <v>-0.16666666666666663</v>
      </c>
      <c r="G96" s="23"/>
      <c r="H96" s="63">
        <v>0.10000000000000009</v>
      </c>
      <c r="I96" s="63">
        <v>-9.0909090909090939E-2</v>
      </c>
      <c r="J96" s="63">
        <v>-9.9999999999999978E-2</v>
      </c>
      <c r="K96" s="63">
        <v>0.33333333333333326</v>
      </c>
      <c r="L96" s="23"/>
      <c r="M96" s="63">
        <v>0.5</v>
      </c>
      <c r="N96" s="63">
        <v>-5.555555555555558E-2</v>
      </c>
      <c r="O96" s="63">
        <v>0</v>
      </c>
      <c r="P96" s="310"/>
      <c r="Q96" s="63">
        <v>0.23529411764705888</v>
      </c>
      <c r="R96" s="23"/>
      <c r="S96" s="63">
        <v>-4.7619047619047672E-2</v>
      </c>
      <c r="T96" s="63">
        <v>0</v>
      </c>
      <c r="U96" s="63">
        <v>-5.0000000000000044E-2</v>
      </c>
      <c r="V96" s="310"/>
      <c r="W96" s="63">
        <v>0.10526315789473695</v>
      </c>
      <c r="X96" s="23"/>
      <c r="Y96" s="63">
        <v>9.5238095238095344E-2</v>
      </c>
      <c r="Z96" s="63">
        <v>4.3478260869565188E-2</v>
      </c>
      <c r="AA96" s="63">
        <v>-0.16666666666666663</v>
      </c>
      <c r="AB96" s="310"/>
      <c r="AC96" s="63">
        <v>0.44999999999999996</v>
      </c>
      <c r="AD96" s="23"/>
    </row>
    <row r="97" spans="1:30">
      <c r="A97" s="62" t="s">
        <v>8</v>
      </c>
      <c r="B97" s="23"/>
      <c r="C97" s="64"/>
      <c r="D97" s="64"/>
      <c r="E97" s="64"/>
      <c r="F97" s="64"/>
      <c r="G97" s="23">
        <v>-6.3829787234042534E-2</v>
      </c>
      <c r="H97" s="64">
        <v>0.10000000000000009</v>
      </c>
      <c r="I97" s="64">
        <v>-0.16666666666666663</v>
      </c>
      <c r="J97" s="64">
        <v>-0.25</v>
      </c>
      <c r="K97" s="64">
        <v>0.19999999999999996</v>
      </c>
      <c r="L97" s="23">
        <v>-4.5454545454545414E-2</v>
      </c>
      <c r="M97" s="64">
        <v>0.63636363636363646</v>
      </c>
      <c r="N97" s="64">
        <v>0.7</v>
      </c>
      <c r="O97" s="64">
        <v>0.88888888888888884</v>
      </c>
      <c r="P97" s="311"/>
      <c r="Q97" s="64">
        <v>0.75</v>
      </c>
      <c r="R97" s="23">
        <v>0.73809523809523814</v>
      </c>
      <c r="S97" s="64">
        <v>0.11111111111111116</v>
      </c>
      <c r="T97" s="64">
        <v>0.17647058823529416</v>
      </c>
      <c r="U97" s="64">
        <v>0.11764705882352944</v>
      </c>
      <c r="V97" s="311">
        <v>0.13461538461538458</v>
      </c>
      <c r="W97" s="64">
        <v>0</v>
      </c>
      <c r="X97" s="23">
        <v>9.5890410958904049E-2</v>
      </c>
      <c r="Y97" s="64">
        <v>0.14999999999999991</v>
      </c>
      <c r="Z97" s="64">
        <v>0.19999999999999996</v>
      </c>
      <c r="AA97" s="64">
        <v>5.2631578947368363E-2</v>
      </c>
      <c r="AB97" s="311">
        <v>0.13559322033898313</v>
      </c>
      <c r="AC97" s="64">
        <v>0.38095238095238093</v>
      </c>
      <c r="AD97" s="23">
        <v>0.19999999999999996</v>
      </c>
    </row>
    <row r="98" spans="1:30">
      <c r="A98" s="60" t="s">
        <v>65</v>
      </c>
      <c r="B98" s="35">
        <v>72</v>
      </c>
      <c r="C98" s="61">
        <v>17</v>
      </c>
      <c r="D98" s="61">
        <v>19</v>
      </c>
      <c r="E98" s="61">
        <v>19</v>
      </c>
      <c r="F98" s="131">
        <f>G98-C98-D98-E98</f>
        <v>18</v>
      </c>
      <c r="G98" s="35">
        <v>73</v>
      </c>
      <c r="H98" s="61">
        <v>20</v>
      </c>
      <c r="I98" s="61">
        <v>20</v>
      </c>
      <c r="J98" s="61">
        <v>20</v>
      </c>
      <c r="K98" s="131">
        <v>23</v>
      </c>
      <c r="L98" s="35">
        <v>83</v>
      </c>
      <c r="M98" s="61">
        <v>18</v>
      </c>
      <c r="N98" s="61">
        <v>19</v>
      </c>
      <c r="O98" s="61">
        <v>21</v>
      </c>
      <c r="P98" s="309">
        <v>58</v>
      </c>
      <c r="Q98" s="131">
        <v>24</v>
      </c>
      <c r="R98" s="35">
        <v>82</v>
      </c>
      <c r="S98" s="61">
        <v>21</v>
      </c>
      <c r="T98" s="61">
        <v>22</v>
      </c>
      <c r="U98" s="61">
        <v>24</v>
      </c>
      <c r="V98" s="309">
        <v>67</v>
      </c>
      <c r="W98" s="131">
        <v>27</v>
      </c>
      <c r="X98" s="35">
        <v>94</v>
      </c>
      <c r="Y98" s="61">
        <v>28</v>
      </c>
      <c r="Z98" s="61">
        <v>27</v>
      </c>
      <c r="AA98" s="61">
        <v>33</v>
      </c>
      <c r="AB98" s="309">
        <v>88</v>
      </c>
      <c r="AC98" s="131">
        <v>46</v>
      </c>
      <c r="AD98" s="35">
        <v>134</v>
      </c>
    </row>
    <row r="99" spans="1:30">
      <c r="A99" s="62" t="s">
        <v>7</v>
      </c>
      <c r="B99" s="23"/>
      <c r="C99" s="63"/>
      <c r="D99" s="63">
        <f>D98/C98-1</f>
        <v>0.11764705882352944</v>
      </c>
      <c r="E99" s="63">
        <f>E98/D98-1</f>
        <v>0</v>
      </c>
      <c r="F99" s="63">
        <f>F98/E98-1</f>
        <v>-5.2631578947368474E-2</v>
      </c>
      <c r="G99" s="23"/>
      <c r="H99" s="63">
        <v>0.11111111111111116</v>
      </c>
      <c r="I99" s="63">
        <v>0</v>
      </c>
      <c r="J99" s="63">
        <v>0</v>
      </c>
      <c r="K99" s="63">
        <v>0.14999999999999991</v>
      </c>
      <c r="L99" s="23"/>
      <c r="M99" s="63">
        <v>-0.21739130434782605</v>
      </c>
      <c r="N99" s="63">
        <v>5.555555555555558E-2</v>
      </c>
      <c r="O99" s="63">
        <v>0.10526315789473695</v>
      </c>
      <c r="P99" s="310"/>
      <c r="Q99" s="63">
        <v>0.14285714285714279</v>
      </c>
      <c r="R99" s="23"/>
      <c r="S99" s="63">
        <v>-0.125</v>
      </c>
      <c r="T99" s="63">
        <v>4.7619047619047672E-2</v>
      </c>
      <c r="U99" s="63">
        <v>9.0909090909090828E-2</v>
      </c>
      <c r="V99" s="310"/>
      <c r="W99" s="63">
        <v>0.125</v>
      </c>
      <c r="X99" s="23"/>
      <c r="Y99" s="63">
        <v>3.7037037037036979E-2</v>
      </c>
      <c r="Z99" s="63">
        <v>-3.5714285714285698E-2</v>
      </c>
      <c r="AA99" s="63">
        <v>0.22222222222222232</v>
      </c>
      <c r="AB99" s="310"/>
      <c r="AC99" s="63">
        <v>0.39393939393939403</v>
      </c>
      <c r="AD99" s="23"/>
    </row>
    <row r="100" spans="1:30">
      <c r="A100" s="62" t="s">
        <v>8</v>
      </c>
      <c r="B100" s="23"/>
      <c r="C100" s="64"/>
      <c r="D100" s="64"/>
      <c r="E100" s="64"/>
      <c r="F100" s="64"/>
      <c r="G100" s="23">
        <v>1.388888888888884E-2</v>
      </c>
      <c r="H100" s="64">
        <v>0.17647058823529416</v>
      </c>
      <c r="I100" s="64">
        <v>5.2631578947368363E-2</v>
      </c>
      <c r="J100" s="64">
        <v>5.2631578947368363E-2</v>
      </c>
      <c r="K100" s="64">
        <v>0.27777777777777768</v>
      </c>
      <c r="L100" s="23">
        <v>0.13698630136986312</v>
      </c>
      <c r="M100" s="64">
        <v>-9.9999999999999978E-2</v>
      </c>
      <c r="N100" s="64">
        <v>-5.0000000000000044E-2</v>
      </c>
      <c r="O100" s="64">
        <v>5.0000000000000044E-2</v>
      </c>
      <c r="P100" s="311"/>
      <c r="Q100" s="64">
        <v>4.3478260869565188E-2</v>
      </c>
      <c r="R100" s="23">
        <v>-1.2048192771084376E-2</v>
      </c>
      <c r="S100" s="64">
        <v>0.16666666666666674</v>
      </c>
      <c r="T100" s="64">
        <v>0.15789473684210531</v>
      </c>
      <c r="U100" s="64">
        <v>0.14285714285714279</v>
      </c>
      <c r="V100" s="311">
        <v>0.15517241379310343</v>
      </c>
      <c r="W100" s="64">
        <v>0.125</v>
      </c>
      <c r="X100" s="23">
        <v>0.14634146341463405</v>
      </c>
      <c r="Y100" s="64">
        <v>0.33333333333333326</v>
      </c>
      <c r="Z100" s="64">
        <v>0.22727272727272729</v>
      </c>
      <c r="AA100" s="64">
        <v>0.375</v>
      </c>
      <c r="AB100" s="311">
        <v>0.31343283582089554</v>
      </c>
      <c r="AC100" s="64">
        <v>0.70370370370370372</v>
      </c>
      <c r="AD100" s="23">
        <v>0.42553191489361697</v>
      </c>
    </row>
    <row r="101" spans="1:30">
      <c r="A101" s="60" t="s">
        <v>66</v>
      </c>
      <c r="B101" s="35">
        <v>72</v>
      </c>
      <c r="C101" s="61">
        <v>18</v>
      </c>
      <c r="D101" s="61">
        <v>17</v>
      </c>
      <c r="E101" s="61">
        <v>18</v>
      </c>
      <c r="F101" s="61">
        <f>G101-C101-D101-E101</f>
        <v>16</v>
      </c>
      <c r="G101" s="35">
        <v>69</v>
      </c>
      <c r="H101" s="61">
        <v>7</v>
      </c>
      <c r="I101" s="61">
        <v>8</v>
      </c>
      <c r="J101" s="61">
        <v>9</v>
      </c>
      <c r="K101" s="61">
        <v>13</v>
      </c>
      <c r="L101" s="35">
        <v>37</v>
      </c>
      <c r="M101" s="61">
        <v>8</v>
      </c>
      <c r="N101" s="61">
        <v>9</v>
      </c>
      <c r="O101" s="61">
        <v>9</v>
      </c>
      <c r="P101" s="309">
        <v>26</v>
      </c>
      <c r="Q101" s="61">
        <v>9</v>
      </c>
      <c r="R101" s="35">
        <v>35</v>
      </c>
      <c r="S101" s="61">
        <v>7</v>
      </c>
      <c r="T101" s="61">
        <v>6</v>
      </c>
      <c r="U101" s="61">
        <v>8</v>
      </c>
      <c r="V101" s="309">
        <v>21</v>
      </c>
      <c r="W101" s="61">
        <v>8</v>
      </c>
      <c r="X101" s="35">
        <v>29</v>
      </c>
      <c r="Y101" s="61">
        <v>9</v>
      </c>
      <c r="Z101" s="61">
        <v>8</v>
      </c>
      <c r="AA101" s="61">
        <v>9</v>
      </c>
      <c r="AB101" s="309">
        <v>26</v>
      </c>
      <c r="AC101" s="61">
        <v>9</v>
      </c>
      <c r="AD101" s="35">
        <v>35</v>
      </c>
    </row>
    <row r="102" spans="1:30">
      <c r="A102" s="62" t="s">
        <v>7</v>
      </c>
      <c r="B102" s="23"/>
      <c r="C102" s="63"/>
      <c r="D102" s="63">
        <f>D101/C101-1</f>
        <v>-5.555555555555558E-2</v>
      </c>
      <c r="E102" s="63">
        <f>E101/D101-1</f>
        <v>5.8823529411764719E-2</v>
      </c>
      <c r="F102" s="63">
        <f>F101/E101-1</f>
        <v>-0.11111111111111116</v>
      </c>
      <c r="G102" s="23"/>
      <c r="H102" s="63">
        <v>-0.5625</v>
      </c>
      <c r="I102" s="63">
        <v>0.14285714285714279</v>
      </c>
      <c r="J102" s="63">
        <v>0.125</v>
      </c>
      <c r="K102" s="63">
        <v>0.44444444444444442</v>
      </c>
      <c r="L102" s="23"/>
      <c r="M102" s="63">
        <v>-0.38461538461538458</v>
      </c>
      <c r="N102" s="63">
        <v>0.125</v>
      </c>
      <c r="O102" s="63">
        <v>0</v>
      </c>
      <c r="P102" s="310"/>
      <c r="Q102" s="63">
        <v>0</v>
      </c>
      <c r="R102" s="23"/>
      <c r="S102" s="63">
        <v>-0.22222222222222221</v>
      </c>
      <c r="T102" s="63">
        <v>-0.1428571428571429</v>
      </c>
      <c r="U102" s="63">
        <v>0.33333333333333326</v>
      </c>
      <c r="V102" s="310"/>
      <c r="W102" s="63">
        <v>0</v>
      </c>
      <c r="X102" s="23"/>
      <c r="Y102" s="63">
        <v>0.125</v>
      </c>
      <c r="Z102" s="63">
        <v>-0.11111111111111116</v>
      </c>
      <c r="AA102" s="63">
        <v>0.125</v>
      </c>
      <c r="AB102" s="310"/>
      <c r="AC102" s="63">
        <v>0</v>
      </c>
      <c r="AD102" s="23"/>
    </row>
    <row r="103" spans="1:30">
      <c r="A103" s="62" t="s">
        <v>8</v>
      </c>
      <c r="B103" s="23"/>
      <c r="C103" s="64"/>
      <c r="D103" s="64"/>
      <c r="E103" s="64"/>
      <c r="F103" s="64"/>
      <c r="G103" s="23">
        <v>-4.166666666666663E-2</v>
      </c>
      <c r="H103" s="64">
        <v>-0.61111111111111116</v>
      </c>
      <c r="I103" s="64">
        <v>-0.52941176470588236</v>
      </c>
      <c r="J103" s="64">
        <v>-0.5</v>
      </c>
      <c r="K103" s="64">
        <v>-0.1875</v>
      </c>
      <c r="L103" s="23">
        <v>-0.46376811594202894</v>
      </c>
      <c r="M103" s="64">
        <v>0.14285714285714279</v>
      </c>
      <c r="N103" s="64">
        <v>0.125</v>
      </c>
      <c r="O103" s="64">
        <v>0</v>
      </c>
      <c r="P103" s="311"/>
      <c r="Q103" s="64">
        <v>-0.30769230769230771</v>
      </c>
      <c r="R103" s="23">
        <v>-5.4054054054054057E-2</v>
      </c>
      <c r="S103" s="64">
        <v>-0.125</v>
      </c>
      <c r="T103" s="64">
        <v>-0.33333333333333337</v>
      </c>
      <c r="U103" s="64">
        <v>-0.11111111111111116</v>
      </c>
      <c r="V103" s="311">
        <v>-0.19230769230769229</v>
      </c>
      <c r="W103" s="64">
        <v>-0.11111111111111116</v>
      </c>
      <c r="X103" s="23">
        <v>-0.17142857142857137</v>
      </c>
      <c r="Y103" s="64">
        <v>0.28571428571428581</v>
      </c>
      <c r="Z103" s="64">
        <v>0.33333333333333326</v>
      </c>
      <c r="AA103" s="64">
        <v>0.125</v>
      </c>
      <c r="AB103" s="311">
        <v>0.23809523809523814</v>
      </c>
      <c r="AC103" s="64">
        <v>0.125</v>
      </c>
      <c r="AD103" s="23">
        <v>0.2068965517241379</v>
      </c>
    </row>
    <row r="104" spans="1:30" ht="5.2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</row>
    <row r="105" spans="1:30" ht="20.25">
      <c r="A105" s="33" t="s">
        <v>40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</row>
    <row r="106" spans="1:30" s="3" customFormat="1">
      <c r="A106" s="329" t="s">
        <v>282</v>
      </c>
      <c r="B106" s="322"/>
      <c r="C106" s="322"/>
      <c r="D106" s="317"/>
      <c r="E106" s="317"/>
      <c r="F106" s="317"/>
      <c r="G106" s="317"/>
      <c r="H106" s="322"/>
      <c r="I106" s="317"/>
      <c r="J106" s="317"/>
      <c r="K106" s="317"/>
      <c r="L106" s="317"/>
      <c r="M106" s="322"/>
      <c r="N106" s="322"/>
      <c r="O106" s="322"/>
      <c r="P106" s="322"/>
      <c r="Q106" s="322"/>
      <c r="R106" s="322"/>
      <c r="S106" s="322"/>
      <c r="T106" s="322"/>
      <c r="U106" s="322"/>
      <c r="V106" s="322"/>
      <c r="W106" s="322"/>
      <c r="X106" s="322"/>
      <c r="Y106" s="322"/>
      <c r="Z106" s="322"/>
      <c r="AA106" s="322"/>
      <c r="AB106" s="322"/>
      <c r="AC106" s="322"/>
      <c r="AD106" s="322"/>
    </row>
    <row r="107" spans="1:30" s="3" customFormat="1">
      <c r="A107" s="62"/>
      <c r="B107" s="62"/>
      <c r="C107" s="62"/>
      <c r="D107" s="62"/>
      <c r="E107" s="62"/>
      <c r="F107" s="62"/>
      <c r="G107" s="35"/>
      <c r="H107" s="62"/>
      <c r="I107" s="62"/>
      <c r="J107" s="62"/>
      <c r="K107" s="62"/>
      <c r="L107" s="35"/>
      <c r="M107" s="62"/>
      <c r="N107" s="62"/>
      <c r="O107" s="62"/>
      <c r="P107" s="336"/>
      <c r="Q107" s="62"/>
      <c r="R107" s="35"/>
      <c r="S107" s="62"/>
      <c r="T107" s="62"/>
      <c r="U107" s="62"/>
      <c r="V107" s="336"/>
      <c r="W107" s="62"/>
      <c r="X107" s="35"/>
      <c r="Y107" s="62"/>
      <c r="Z107" s="62"/>
      <c r="AA107" s="62"/>
      <c r="AB107" s="336"/>
      <c r="AC107" s="62"/>
      <c r="AD107" s="35"/>
    </row>
    <row r="108" spans="1:30" s="3" customFormat="1">
      <c r="A108" s="60" t="s">
        <v>197</v>
      </c>
      <c r="B108" s="62"/>
      <c r="C108" s="62"/>
      <c r="D108" s="62"/>
      <c r="E108" s="62"/>
      <c r="F108" s="62"/>
      <c r="G108" s="35">
        <v>2699</v>
      </c>
      <c r="H108" s="62"/>
      <c r="I108" s="62"/>
      <c r="J108" s="62"/>
      <c r="K108" s="62"/>
      <c r="L108" s="35">
        <v>2074</v>
      </c>
      <c r="M108" s="61">
        <v>738</v>
      </c>
      <c r="N108" s="61">
        <v>1079</v>
      </c>
      <c r="O108" s="61">
        <v>665</v>
      </c>
      <c r="P108" s="309">
        <v>2482</v>
      </c>
      <c r="Q108" s="61">
        <v>521</v>
      </c>
      <c r="R108" s="35">
        <v>3003</v>
      </c>
      <c r="S108" s="61">
        <v>651</v>
      </c>
      <c r="T108" s="61">
        <v>682</v>
      </c>
      <c r="U108" s="61">
        <v>668</v>
      </c>
      <c r="V108" s="309">
        <v>2001</v>
      </c>
      <c r="W108" s="61">
        <v>581</v>
      </c>
      <c r="X108" s="35">
        <v>2582</v>
      </c>
      <c r="Y108" s="61">
        <v>816</v>
      </c>
      <c r="Z108" s="61">
        <v>638</v>
      </c>
      <c r="AA108" s="61">
        <v>629</v>
      </c>
      <c r="AB108" s="309">
        <v>2083</v>
      </c>
      <c r="AC108" s="61">
        <v>603</v>
      </c>
      <c r="AD108" s="35">
        <v>2686</v>
      </c>
    </row>
    <row r="109" spans="1:30" s="3" customFormat="1">
      <c r="A109" s="60" t="s">
        <v>206</v>
      </c>
      <c r="B109" s="62"/>
      <c r="C109" s="62"/>
      <c r="D109" s="62"/>
      <c r="E109" s="62"/>
      <c r="F109" s="62"/>
      <c r="G109" s="159">
        <v>-23</v>
      </c>
      <c r="H109" s="62"/>
      <c r="I109" s="62"/>
      <c r="J109" s="62"/>
      <c r="K109" s="62"/>
      <c r="L109" s="35">
        <v>614</v>
      </c>
      <c r="M109" s="263">
        <v>-69</v>
      </c>
      <c r="N109" s="263">
        <v>-423</v>
      </c>
      <c r="O109" s="263">
        <v>-8</v>
      </c>
      <c r="P109" s="337">
        <v>-500</v>
      </c>
      <c r="Q109" s="61">
        <v>94</v>
      </c>
      <c r="R109" s="35">
        <v>-406</v>
      </c>
      <c r="S109" s="263">
        <v>-4</v>
      </c>
      <c r="T109" s="263">
        <v>-2</v>
      </c>
      <c r="U109" s="263">
        <v>-5</v>
      </c>
      <c r="V109" s="337">
        <v>-11</v>
      </c>
      <c r="W109" s="61">
        <v>79</v>
      </c>
      <c r="X109" s="35">
        <v>68</v>
      </c>
      <c r="Y109" s="263">
        <v>-150</v>
      </c>
      <c r="Z109" s="61">
        <v>6</v>
      </c>
      <c r="AA109" s="61">
        <v>8</v>
      </c>
      <c r="AB109" s="337">
        <v>-136</v>
      </c>
      <c r="AC109" s="61">
        <v>31</v>
      </c>
      <c r="AD109" s="159">
        <v>-105</v>
      </c>
    </row>
    <row r="110" spans="1:30" s="3" customFormat="1">
      <c r="A110" s="60" t="s">
        <v>374</v>
      </c>
      <c r="B110" s="62"/>
      <c r="C110" s="62"/>
      <c r="D110" s="62"/>
      <c r="E110" s="62"/>
      <c r="F110" s="62"/>
      <c r="G110" s="275">
        <v>0</v>
      </c>
      <c r="H110" s="276"/>
      <c r="I110" s="276"/>
      <c r="J110" s="276"/>
      <c r="K110" s="276"/>
      <c r="L110" s="275">
        <v>0</v>
      </c>
      <c r="M110" s="265">
        <v>0</v>
      </c>
      <c r="N110" s="265">
        <v>0</v>
      </c>
      <c r="O110" s="265">
        <v>0</v>
      </c>
      <c r="P110" s="338">
        <v>0</v>
      </c>
      <c r="Q110" s="265">
        <v>0</v>
      </c>
      <c r="R110" s="275">
        <v>0</v>
      </c>
      <c r="S110" s="265">
        <v>0</v>
      </c>
      <c r="T110" s="265">
        <v>0</v>
      </c>
      <c r="U110" s="265">
        <v>0</v>
      </c>
      <c r="V110" s="338">
        <v>0</v>
      </c>
      <c r="W110" s="265">
        <v>0</v>
      </c>
      <c r="X110" s="275">
        <v>0</v>
      </c>
      <c r="Y110" s="265">
        <v>5</v>
      </c>
      <c r="Z110" s="265">
        <v>5</v>
      </c>
      <c r="AA110" s="265">
        <v>3</v>
      </c>
      <c r="AB110" s="338">
        <v>13</v>
      </c>
      <c r="AC110" s="277">
        <v>2</v>
      </c>
      <c r="AD110" s="275">
        <v>15</v>
      </c>
    </row>
    <row r="111" spans="1:30" s="3" customFormat="1">
      <c r="A111" s="60"/>
      <c r="B111" s="62"/>
      <c r="C111" s="62"/>
      <c r="D111" s="62"/>
      <c r="E111" s="62"/>
      <c r="F111" s="62"/>
      <c r="G111" s="35"/>
      <c r="H111" s="62"/>
      <c r="I111" s="62"/>
      <c r="J111" s="62"/>
      <c r="K111" s="62"/>
      <c r="L111" s="35"/>
      <c r="M111" s="61"/>
      <c r="N111" s="61"/>
      <c r="O111" s="61"/>
      <c r="P111" s="309"/>
      <c r="Q111" s="61"/>
      <c r="R111" s="35"/>
      <c r="S111" s="61"/>
      <c r="T111" s="61"/>
      <c r="U111" s="61"/>
      <c r="V111" s="309"/>
      <c r="W111" s="61"/>
      <c r="X111" s="35"/>
      <c r="Y111" s="61"/>
      <c r="Z111" s="61"/>
      <c r="AA111" s="61"/>
      <c r="AB111" s="309"/>
      <c r="AC111" s="61"/>
      <c r="AD111" s="35"/>
    </row>
    <row r="112" spans="1:30" s="3" customFormat="1">
      <c r="A112" s="79" t="s">
        <v>290</v>
      </c>
      <c r="B112" s="62"/>
      <c r="C112" s="62"/>
      <c r="D112" s="62"/>
      <c r="E112" s="62"/>
      <c r="F112" s="62"/>
      <c r="G112" s="275">
        <v>2676</v>
      </c>
      <c r="H112" s="276"/>
      <c r="I112" s="276"/>
      <c r="J112" s="276"/>
      <c r="K112" s="276"/>
      <c r="L112" s="275">
        <v>2688</v>
      </c>
      <c r="M112" s="277">
        <v>669</v>
      </c>
      <c r="N112" s="277">
        <v>656</v>
      </c>
      <c r="O112" s="277">
        <v>657</v>
      </c>
      <c r="P112" s="338">
        <v>1982</v>
      </c>
      <c r="Q112" s="277">
        <v>615</v>
      </c>
      <c r="R112" s="275">
        <v>2597</v>
      </c>
      <c r="S112" s="277">
        <v>647</v>
      </c>
      <c r="T112" s="277">
        <v>680</v>
      </c>
      <c r="U112" s="277">
        <v>663</v>
      </c>
      <c r="V112" s="338">
        <v>1990</v>
      </c>
      <c r="W112" s="277">
        <v>660</v>
      </c>
      <c r="X112" s="275">
        <v>2650</v>
      </c>
      <c r="Y112" s="277">
        <v>671</v>
      </c>
      <c r="Z112" s="277">
        <v>649</v>
      </c>
      <c r="AA112" s="277">
        <v>640</v>
      </c>
      <c r="AB112" s="338">
        <v>1960</v>
      </c>
      <c r="AC112" s="277">
        <v>636</v>
      </c>
      <c r="AD112" s="275">
        <v>2596</v>
      </c>
    </row>
    <row r="113" spans="1:30" s="3" customFormat="1">
      <c r="A113" s="62" t="s">
        <v>7</v>
      </c>
      <c r="B113" s="155">
        <f>'Group P&amp;L'!B132</f>
        <v>0</v>
      </c>
      <c r="C113" s="155">
        <f>'Group P&amp;L'!C132</f>
        <v>0</v>
      </c>
      <c r="D113" s="166">
        <f>'Group P&amp;L'!D132</f>
        <v>0</v>
      </c>
      <c r="E113" s="166">
        <f>'Group P&amp;L'!E132</f>
        <v>0</v>
      </c>
      <c r="F113" s="166">
        <f>'Group P&amp;L'!F132</f>
        <v>0</v>
      </c>
      <c r="G113" s="35"/>
      <c r="H113" s="260"/>
      <c r="I113" s="235"/>
      <c r="J113" s="235"/>
      <c r="K113" s="235"/>
      <c r="L113" s="35"/>
      <c r="M113" s="63"/>
      <c r="N113" s="63">
        <v>-1.9431988041853532E-2</v>
      </c>
      <c r="O113" s="63">
        <v>1.5243902439023849E-3</v>
      </c>
      <c r="P113" s="310"/>
      <c r="Q113" s="63">
        <v>-6.3926940639269403E-2</v>
      </c>
      <c r="R113" s="35"/>
      <c r="S113" s="63">
        <v>5.2032520325203224E-2</v>
      </c>
      <c r="T113" s="63">
        <v>5.1004636785162205E-2</v>
      </c>
      <c r="U113" s="63">
        <v>-2.5000000000000022E-2</v>
      </c>
      <c r="V113" s="310"/>
      <c r="W113" s="63">
        <v>-4.5248868778280382E-3</v>
      </c>
      <c r="X113" s="35"/>
      <c r="Y113" s="63">
        <v>1.6666666666666607E-2</v>
      </c>
      <c r="Z113" s="63">
        <v>-3.2786885245901676E-2</v>
      </c>
      <c r="AA113" s="63">
        <v>-1.3867488443759624E-2</v>
      </c>
      <c r="AB113" s="310"/>
      <c r="AC113" s="63">
        <v>-6.2499999999999778E-3</v>
      </c>
      <c r="AD113" s="35"/>
    </row>
    <row r="114" spans="1:30" s="34" customFormat="1" ht="12.95" customHeight="1">
      <c r="A114" s="62" t="s">
        <v>8</v>
      </c>
      <c r="B114" s="155">
        <f>'Group P&amp;L'!B115</f>
        <v>0</v>
      </c>
      <c r="C114" s="155">
        <f>'Group P&amp;L'!C115</f>
        <v>0</v>
      </c>
      <c r="D114" s="166">
        <f>'Group P&amp;L'!D115</f>
        <v>0</v>
      </c>
      <c r="E114" s="166">
        <f>'Group P&amp;L'!E115</f>
        <v>0</v>
      </c>
      <c r="F114" s="166">
        <f>'Group P&amp;L'!F115</f>
        <v>0</v>
      </c>
      <c r="G114" s="35"/>
      <c r="H114" s="260"/>
      <c r="I114" s="235"/>
      <c r="J114" s="235"/>
      <c r="K114" s="235"/>
      <c r="L114" s="23">
        <v>4.484304932735439E-3</v>
      </c>
      <c r="M114" s="64"/>
      <c r="N114" s="64"/>
      <c r="O114" s="64"/>
      <c r="P114" s="311"/>
      <c r="Q114" s="64"/>
      <c r="R114" s="23">
        <v>-3.385416666666663E-2</v>
      </c>
      <c r="S114" s="64">
        <v>-3.2884902840059738E-2</v>
      </c>
      <c r="T114" s="64">
        <v>3.6585365853658569E-2</v>
      </c>
      <c r="U114" s="64">
        <v>9.1324200913243114E-3</v>
      </c>
      <c r="V114" s="311">
        <v>4.0363269424823489E-3</v>
      </c>
      <c r="W114" s="64">
        <v>7.3170731707317138E-2</v>
      </c>
      <c r="X114" s="23">
        <v>2.0408163265306145E-2</v>
      </c>
      <c r="Y114" s="64">
        <v>3.7094281298299947E-2</v>
      </c>
      <c r="Z114" s="64">
        <v>-4.5588235294117596E-2</v>
      </c>
      <c r="AA114" s="64">
        <v>-3.4690799396681737E-2</v>
      </c>
      <c r="AB114" s="311">
        <v>-1.5075376884422065E-2</v>
      </c>
      <c r="AC114" s="64">
        <v>-3.6363636363636376E-2</v>
      </c>
      <c r="AD114" s="23">
        <v>-2.0377358490565989E-2</v>
      </c>
    </row>
    <row r="115" spans="1:30" s="34" customFormat="1" ht="18" customHeight="1">
      <c r="A115" s="79" t="s">
        <v>334</v>
      </c>
      <c r="B115" s="228">
        <f>'Group P&amp;L'!B117</f>
        <v>0</v>
      </c>
      <c r="C115" s="228">
        <f>'Group P&amp;L'!C117</f>
        <v>0</v>
      </c>
      <c r="D115" s="265">
        <f>'Group P&amp;L'!D117</f>
        <v>0</v>
      </c>
      <c r="E115" s="264">
        <f>'Group P&amp;L'!E117</f>
        <v>0</v>
      </c>
      <c r="F115" s="265">
        <f>'Group P&amp;L'!F117</f>
        <v>0</v>
      </c>
      <c r="G115" s="271">
        <v>0.63053722902921772</v>
      </c>
      <c r="H115" s="260"/>
      <c r="I115" s="66"/>
      <c r="J115" s="66"/>
      <c r="K115" s="235"/>
      <c r="L115" s="271">
        <v>0.64061010486177317</v>
      </c>
      <c r="M115" s="109">
        <v>0.64141898370086292</v>
      </c>
      <c r="N115" s="109">
        <v>0.64313725490196083</v>
      </c>
      <c r="O115" s="109">
        <v>0.64097560975609758</v>
      </c>
      <c r="P115" s="318">
        <v>0.64183937823834192</v>
      </c>
      <c r="Q115" s="109">
        <v>0.62436548223350252</v>
      </c>
      <c r="R115" s="271">
        <v>0.63761355266388409</v>
      </c>
      <c r="S115" s="109">
        <v>0.63555992141453832</v>
      </c>
      <c r="T115" s="109">
        <v>0.65134099616858232</v>
      </c>
      <c r="U115" s="109">
        <v>0.6362763915547025</v>
      </c>
      <c r="V115" s="318">
        <v>0.64110824742268047</v>
      </c>
      <c r="W115" s="109">
        <v>0.62559241706161139</v>
      </c>
      <c r="X115" s="271">
        <v>0.63717239721086805</v>
      </c>
      <c r="Y115" s="109">
        <v>0.63662239089184058</v>
      </c>
      <c r="Z115" s="109">
        <v>0.62463907603464874</v>
      </c>
      <c r="AA115" s="109">
        <v>0.61716489874638381</v>
      </c>
      <c r="AB115" s="318">
        <v>0.62619808306709268</v>
      </c>
      <c r="AC115" s="109">
        <v>0.6045627376425855</v>
      </c>
      <c r="AD115" s="271">
        <v>0.62075561932089907</v>
      </c>
    </row>
    <row r="116" spans="1:30" s="34" customFormat="1" ht="18" customHeight="1">
      <c r="B116" s="228">
        <f>SUM(B113:B115)</f>
        <v>0</v>
      </c>
      <c r="C116" s="228">
        <f>SUM(C113:C115)</f>
        <v>0</v>
      </c>
      <c r="D116" s="264">
        <f>SUM(D113:D115)</f>
        <v>0</v>
      </c>
      <c r="E116" s="264">
        <f>SUM(E113:E115)</f>
        <v>0</v>
      </c>
      <c r="F116" s="264">
        <f>SUM(F113:F115)</f>
        <v>0</v>
      </c>
      <c r="G116" s="35"/>
      <c r="H116" s="260"/>
      <c r="I116" s="235"/>
      <c r="J116" s="235"/>
      <c r="K116" s="235"/>
      <c r="L116" s="35"/>
      <c r="M116" s="62"/>
      <c r="P116" s="339"/>
      <c r="R116" s="35"/>
      <c r="V116" s="339"/>
      <c r="X116" s="35"/>
      <c r="AB116" s="339"/>
      <c r="AD116" s="35"/>
    </row>
    <row r="117" spans="1:30" s="3" customFormat="1">
      <c r="A117" s="329" t="s">
        <v>283</v>
      </c>
      <c r="B117" s="322"/>
      <c r="C117" s="322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</row>
    <row r="118" spans="1:30" s="3" customFormat="1">
      <c r="B118" s="260"/>
      <c r="C118" s="260"/>
      <c r="D118" s="235"/>
      <c r="E118" s="235"/>
      <c r="F118" s="235"/>
      <c r="G118" s="35"/>
      <c r="H118" s="260"/>
      <c r="I118" s="235"/>
      <c r="J118" s="235"/>
      <c r="K118" s="235"/>
      <c r="L118" s="35"/>
      <c r="M118" s="62"/>
      <c r="P118" s="323"/>
      <c r="R118" s="35"/>
      <c r="V118" s="323"/>
      <c r="X118" s="35"/>
      <c r="AB118" s="323"/>
      <c r="AD118" s="35"/>
    </row>
    <row r="119" spans="1:30" s="34" customFormat="1" ht="12.95" customHeight="1">
      <c r="A119" s="60" t="s">
        <v>250</v>
      </c>
      <c r="B119" s="155">
        <f>'Group P&amp;L'!B128</f>
        <v>0</v>
      </c>
      <c r="C119" s="155">
        <f>'Group P&amp;L'!C128</f>
        <v>0</v>
      </c>
      <c r="D119" s="166">
        <f>'Group P&amp;L'!D128</f>
        <v>0</v>
      </c>
      <c r="E119" s="166">
        <f>'Group P&amp;L'!E128</f>
        <v>0</v>
      </c>
      <c r="F119" s="166">
        <f>'Group P&amp;L'!F128</f>
        <v>0</v>
      </c>
      <c r="G119" s="35">
        <v>1172</v>
      </c>
      <c r="H119" s="260"/>
      <c r="I119" s="235"/>
      <c r="J119" s="235"/>
      <c r="K119" s="235"/>
      <c r="L119" s="35">
        <v>567</v>
      </c>
      <c r="M119" s="278">
        <v>321</v>
      </c>
      <c r="N119" s="278">
        <v>562</v>
      </c>
      <c r="O119" s="278">
        <v>175</v>
      </c>
      <c r="P119" s="309">
        <v>1058</v>
      </c>
      <c r="Q119" s="278">
        <v>134</v>
      </c>
      <c r="R119" s="35">
        <v>1192</v>
      </c>
      <c r="S119" s="278">
        <v>295</v>
      </c>
      <c r="T119" s="278">
        <v>229</v>
      </c>
      <c r="U119" s="278">
        <v>300</v>
      </c>
      <c r="V119" s="309">
        <v>824</v>
      </c>
      <c r="W119" s="278">
        <v>216</v>
      </c>
      <c r="X119" s="35">
        <v>1040</v>
      </c>
      <c r="Y119" s="278">
        <v>400</v>
      </c>
      <c r="Z119" s="278">
        <v>238</v>
      </c>
      <c r="AA119" s="278">
        <v>219</v>
      </c>
      <c r="AB119" s="309">
        <v>857</v>
      </c>
      <c r="AC119" s="278">
        <v>206</v>
      </c>
      <c r="AD119" s="35">
        <v>1063</v>
      </c>
    </row>
    <row r="120" spans="1:30" s="34" customFormat="1" ht="12.95" customHeight="1">
      <c r="A120" s="60" t="s">
        <v>337</v>
      </c>
      <c r="B120" s="155">
        <f>'Group P&amp;L'!B115*0.76</f>
        <v>0</v>
      </c>
      <c r="C120" s="155">
        <f>(('Group P&amp;L'!C115-yes!L124)*0.77+yes!L124)</f>
        <v>0</v>
      </c>
      <c r="D120" s="166">
        <f>(('Group P&amp;L'!D115-yes!M124)*0.77+yes!M124)</f>
        <v>0</v>
      </c>
      <c r="E120" s="166">
        <f>(('Group P&amp;L'!E115-yes!N124)*0.77+yes!N124)</f>
        <v>0</v>
      </c>
      <c r="F120" s="166">
        <f>(('Group P&amp;L'!F115-yes!O124)*0.77+yes!O124)</f>
        <v>0</v>
      </c>
      <c r="G120" s="159">
        <v>-17.48</v>
      </c>
      <c r="H120" s="260"/>
      <c r="I120" s="61"/>
      <c r="J120" s="61"/>
      <c r="K120" s="61"/>
      <c r="L120" s="35">
        <v>472.78000000000003</v>
      </c>
      <c r="M120" s="165">
        <v>-53.13</v>
      </c>
      <c r="N120" s="165">
        <v>-325.70999999999998</v>
      </c>
      <c r="O120" s="165">
        <v>-6.16</v>
      </c>
      <c r="P120" s="312">
        <v>-385</v>
      </c>
      <c r="Q120" s="278">
        <v>72.38</v>
      </c>
      <c r="R120" s="159">
        <v>-312.62</v>
      </c>
      <c r="S120" s="165">
        <v>-3.08</v>
      </c>
      <c r="T120" s="165">
        <v>-1.54</v>
      </c>
      <c r="U120" s="165">
        <v>-3.85</v>
      </c>
      <c r="V120" s="312">
        <v>-8.4700000000000006</v>
      </c>
      <c r="W120" s="278">
        <v>60.83</v>
      </c>
      <c r="X120" s="35">
        <v>52.36</v>
      </c>
      <c r="Y120" s="165">
        <v>-115</v>
      </c>
      <c r="Z120" s="278">
        <v>4.62</v>
      </c>
      <c r="AA120" s="278">
        <v>6.16</v>
      </c>
      <c r="AB120" s="312">
        <v>-104.22</v>
      </c>
      <c r="AC120" s="278">
        <v>23.36999999999999</v>
      </c>
      <c r="AD120" s="159">
        <v>-80.850000000000009</v>
      </c>
    </row>
    <row r="121" spans="1:30" s="34" customFormat="1" ht="12.95" customHeight="1">
      <c r="A121" s="60" t="s">
        <v>374</v>
      </c>
      <c r="B121" s="155"/>
      <c r="C121" s="155"/>
      <c r="D121" s="166"/>
      <c r="E121" s="166"/>
      <c r="F121" s="166"/>
      <c r="G121" s="275"/>
      <c r="H121" s="228"/>
      <c r="I121" s="277"/>
      <c r="J121" s="277"/>
      <c r="K121" s="277"/>
      <c r="L121" s="275">
        <v>0</v>
      </c>
      <c r="M121" s="265">
        <v>0</v>
      </c>
      <c r="N121" s="265">
        <v>0</v>
      </c>
      <c r="O121" s="265">
        <v>0</v>
      </c>
      <c r="P121" s="338">
        <v>0</v>
      </c>
      <c r="Q121" s="265">
        <v>0</v>
      </c>
      <c r="R121" s="275">
        <v>0</v>
      </c>
      <c r="S121" s="265">
        <v>0</v>
      </c>
      <c r="T121" s="265">
        <v>0</v>
      </c>
      <c r="U121" s="265">
        <v>0</v>
      </c>
      <c r="V121" s="338">
        <v>0</v>
      </c>
      <c r="W121" s="265">
        <v>0</v>
      </c>
      <c r="X121" s="275">
        <v>0</v>
      </c>
      <c r="Y121" s="285">
        <v>5</v>
      </c>
      <c r="Z121" s="265">
        <v>5</v>
      </c>
      <c r="AA121" s="265">
        <v>3</v>
      </c>
      <c r="AB121" s="338">
        <v>13</v>
      </c>
      <c r="AC121" s="278">
        <v>2</v>
      </c>
      <c r="AD121" s="275">
        <v>15</v>
      </c>
    </row>
    <row r="122" spans="1:30" s="34" customFormat="1" ht="19.5" customHeight="1">
      <c r="A122" s="200" t="s">
        <v>291</v>
      </c>
      <c r="B122" s="229">
        <f>SUM(B119:B120)</f>
        <v>0</v>
      </c>
      <c r="C122" s="229">
        <f>SUM(C119:C120)</f>
        <v>0</v>
      </c>
      <c r="D122" s="167">
        <f>SUM(D119:D120)</f>
        <v>0</v>
      </c>
      <c r="E122" s="167">
        <f>SUM(E119:E120)</f>
        <v>0</v>
      </c>
      <c r="F122" s="167">
        <f>SUM(F119:F120)</f>
        <v>0</v>
      </c>
      <c r="G122" s="279">
        <v>1154.52</v>
      </c>
      <c r="H122" s="229"/>
      <c r="I122" s="167"/>
      <c r="J122" s="167"/>
      <c r="K122" s="167"/>
      <c r="L122" s="279">
        <v>1039.78</v>
      </c>
      <c r="M122" s="280">
        <v>267.87</v>
      </c>
      <c r="N122" s="280">
        <v>236.29000000000002</v>
      </c>
      <c r="O122" s="280">
        <v>168.84</v>
      </c>
      <c r="P122" s="332">
        <v>673</v>
      </c>
      <c r="Q122" s="280">
        <v>206.37999999999994</v>
      </c>
      <c r="R122" s="279">
        <v>879.38</v>
      </c>
      <c r="S122" s="280">
        <v>291.92</v>
      </c>
      <c r="T122" s="280">
        <v>227.46</v>
      </c>
      <c r="U122" s="280">
        <v>296.14999999999998</v>
      </c>
      <c r="V122" s="332">
        <v>815.53</v>
      </c>
      <c r="W122" s="280">
        <v>276.82999999999987</v>
      </c>
      <c r="X122" s="279">
        <v>1092.3599999999999</v>
      </c>
      <c r="Y122" s="280">
        <v>290</v>
      </c>
      <c r="Z122" s="280">
        <v>247.62</v>
      </c>
      <c r="AA122" s="280">
        <v>228.16</v>
      </c>
      <c r="AB122" s="332">
        <v>765.78</v>
      </c>
      <c r="AC122" s="280">
        <v>231.37</v>
      </c>
      <c r="AD122" s="279">
        <v>997.15</v>
      </c>
    </row>
    <row r="123" spans="1:30" s="34" customFormat="1" ht="13.5" customHeight="1">
      <c r="A123" s="62" t="s">
        <v>7</v>
      </c>
      <c r="B123" s="266"/>
      <c r="C123" s="266"/>
      <c r="D123" s="63" t="e">
        <f>D122/B122-1</f>
        <v>#DIV/0!</v>
      </c>
      <c r="E123" s="63" t="e">
        <f>E122/D122-1</f>
        <v>#DIV/0!</v>
      </c>
      <c r="F123" s="63" t="e">
        <f>F122/E122-1</f>
        <v>#DIV/0!</v>
      </c>
      <c r="G123" s="35"/>
      <c r="H123" s="260"/>
      <c r="I123" s="235"/>
      <c r="J123" s="235"/>
      <c r="K123" s="235"/>
      <c r="L123" s="35"/>
      <c r="M123" s="63"/>
      <c r="N123" s="63">
        <v>-0.11789300780229206</v>
      </c>
      <c r="O123" s="63">
        <v>-0.28545431461339887</v>
      </c>
      <c r="P123" s="310"/>
      <c r="Q123" s="63">
        <v>0.22234067756455778</v>
      </c>
      <c r="R123" s="35"/>
      <c r="S123" s="63">
        <v>0.41447814710727826</v>
      </c>
      <c r="T123" s="63">
        <v>-0.22081392162236235</v>
      </c>
      <c r="U123" s="63">
        <v>0.30198716257803548</v>
      </c>
      <c r="V123" s="310"/>
      <c r="W123" s="63">
        <v>-6.5237210872868823E-2</v>
      </c>
      <c r="X123" s="35"/>
      <c r="Y123" s="63">
        <v>4.7574323592096679E-2</v>
      </c>
      <c r="Z123" s="63">
        <v>-0.14613793103448269</v>
      </c>
      <c r="AA123" s="63">
        <v>-7.8588159276310465E-2</v>
      </c>
      <c r="AB123" s="310"/>
      <c r="AC123" s="63">
        <v>1.406907433380078E-2</v>
      </c>
      <c r="AD123" s="35"/>
    </row>
    <row r="124" spans="1:30" s="34" customFormat="1" ht="13.5" customHeight="1">
      <c r="A124" s="62" t="s">
        <v>8</v>
      </c>
      <c r="B124" s="260"/>
      <c r="C124" s="23" t="e">
        <f>C122/B122-1</f>
        <v>#DIV/0!</v>
      </c>
      <c r="D124" s="64"/>
      <c r="E124" s="64"/>
      <c r="F124" s="64"/>
      <c r="G124" s="35"/>
      <c r="H124" s="260"/>
      <c r="I124" s="235"/>
      <c r="J124" s="235"/>
      <c r="K124" s="235"/>
      <c r="L124" s="23">
        <v>-9.9383293489935243E-2</v>
      </c>
      <c r="M124" s="64"/>
      <c r="N124" s="64"/>
      <c r="O124" s="64"/>
      <c r="P124" s="311"/>
      <c r="Q124" s="64"/>
      <c r="R124" s="23">
        <v>-0.1542634018734732</v>
      </c>
      <c r="S124" s="64">
        <v>8.9782357113525224E-2</v>
      </c>
      <c r="T124" s="64">
        <v>-3.7369334292606582E-2</v>
      </c>
      <c r="U124" s="64">
        <v>0.75402748163942168</v>
      </c>
      <c r="V124" s="311">
        <v>0.2117830609212481</v>
      </c>
      <c r="W124" s="64">
        <v>0.34136059695706922</v>
      </c>
      <c r="X124" s="23">
        <v>0.24219336350610643</v>
      </c>
      <c r="Y124" s="64">
        <v>-6.5771444231297327E-3</v>
      </c>
      <c r="Z124" s="64">
        <v>8.8630968082300088E-2</v>
      </c>
      <c r="AA124" s="64">
        <v>-0.22957960492993412</v>
      </c>
      <c r="AB124" s="311">
        <v>-6.1003273944551406E-2</v>
      </c>
      <c r="AC124" s="64">
        <v>-0.16421630603619508</v>
      </c>
      <c r="AD124" s="23">
        <v>-8.7159910652165884E-2</v>
      </c>
    </row>
    <row r="125" spans="1:30" s="3" customFormat="1" ht="3" customHeight="1">
      <c r="A125" s="42"/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0" max="2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F68"/>
  <sheetViews>
    <sheetView showGridLines="0" tabSelected="1" workbookViewId="0">
      <pane xSplit="1" ySplit="7" topLeftCell="G60" activePane="bottomRight" state="frozen"/>
      <selection activeCell="J20" sqref="J20"/>
      <selection pane="topRight" activeCell="J20" sqref="J20"/>
      <selection pane="bottomLeft" activeCell="J20" sqref="J20"/>
      <selection pane="bottomRight" activeCell="J20" sqref="J20"/>
    </sheetView>
  </sheetViews>
  <sheetFormatPr defaultRowHeight="12.75"/>
  <cols>
    <col min="1" max="1" width="50.7109375" bestFit="1" customWidth="1"/>
    <col min="2" max="6" width="9.140625" hidden="1" customWidth="1"/>
    <col min="8" max="11" width="9.140625" hidden="1" customWidth="1"/>
    <col min="13" max="17" width="0" hidden="1" customWidth="1"/>
    <col min="22" max="22" width="0" hidden="1" customWidth="1"/>
    <col min="28" max="28" width="0" hidden="1" customWidth="1"/>
  </cols>
  <sheetData>
    <row r="1" spans="1:3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0">
      <c r="A3" s="30"/>
      <c r="B3" s="45" t="s">
        <v>5</v>
      </c>
      <c r="C3" s="45" t="s">
        <v>68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68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68</v>
      </c>
      <c r="N3" s="45" t="s">
        <v>0</v>
      </c>
      <c r="O3" s="45" t="s">
        <v>1</v>
      </c>
      <c r="P3" s="45" t="s">
        <v>380</v>
      </c>
      <c r="Q3" s="45" t="s">
        <v>2</v>
      </c>
      <c r="R3" s="45" t="s">
        <v>5</v>
      </c>
      <c r="S3" s="45" t="s">
        <v>68</v>
      </c>
      <c r="T3" s="45" t="s">
        <v>0</v>
      </c>
      <c r="U3" s="45" t="s">
        <v>1</v>
      </c>
      <c r="V3" s="45" t="s">
        <v>380</v>
      </c>
      <c r="W3" s="45" t="s">
        <v>2</v>
      </c>
      <c r="X3" s="45" t="s">
        <v>5</v>
      </c>
      <c r="Y3" s="45" t="s">
        <v>68</v>
      </c>
      <c r="Z3" s="45" t="s">
        <v>0</v>
      </c>
      <c r="AA3" s="45" t="s">
        <v>1</v>
      </c>
      <c r="AB3" s="45" t="s">
        <v>380</v>
      </c>
      <c r="AC3" s="45" t="s">
        <v>2</v>
      </c>
      <c r="AD3" s="45" t="s">
        <v>5</v>
      </c>
    </row>
    <row r="4" spans="1:30">
      <c r="A4" s="50" t="s">
        <v>259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</row>
    <row r="5" spans="1:30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0.25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>
      <c r="A7" s="328" t="s">
        <v>60</v>
      </c>
      <c r="B7" s="322"/>
      <c r="C7" s="316"/>
      <c r="D7" s="316"/>
      <c r="E7" s="316"/>
      <c r="F7" s="316"/>
      <c r="G7" s="322"/>
      <c r="H7" s="316"/>
      <c r="I7" s="316"/>
      <c r="J7" s="316"/>
      <c r="K7" s="316"/>
      <c r="L7" s="322"/>
      <c r="M7" s="316"/>
      <c r="N7" s="316"/>
      <c r="O7" s="316"/>
      <c r="P7" s="316"/>
      <c r="Q7" s="316"/>
      <c r="R7" s="322"/>
      <c r="S7" s="316"/>
      <c r="T7" s="316"/>
      <c r="U7" s="316"/>
      <c r="V7" s="316"/>
      <c r="W7" s="316"/>
      <c r="X7" s="322"/>
      <c r="Y7" s="316"/>
      <c r="Z7" s="316"/>
      <c r="AA7" s="316"/>
      <c r="AB7" s="316"/>
      <c r="AC7" s="316"/>
      <c r="AD7" s="322"/>
    </row>
    <row r="8" spans="1:30">
      <c r="A8" s="60" t="s">
        <v>46</v>
      </c>
      <c r="B8" s="35">
        <f>B11+B14</f>
        <v>2630</v>
      </c>
      <c r="C8" s="61">
        <f>C11+C14</f>
        <v>628</v>
      </c>
      <c r="D8" s="61">
        <f>D11+D14</f>
        <v>632</v>
      </c>
      <c r="E8" s="61">
        <f>E11+E14</f>
        <v>635</v>
      </c>
      <c r="F8" s="61">
        <f>G8-E8-D8-C8</f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309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309">
        <v>1653</v>
      </c>
      <c r="W8" s="61">
        <v>533</v>
      </c>
      <c r="X8" s="35">
        <v>2186</v>
      </c>
      <c r="Y8" s="61">
        <v>570</v>
      </c>
      <c r="Z8" s="61">
        <v>576</v>
      </c>
      <c r="AA8" s="61">
        <v>541</v>
      </c>
      <c r="AB8" s="309">
        <v>1687</v>
      </c>
      <c r="AC8" s="61">
        <v>602</v>
      </c>
      <c r="AD8" s="35">
        <v>2289</v>
      </c>
    </row>
    <row r="9" spans="1:30">
      <c r="A9" s="62" t="s">
        <v>7</v>
      </c>
      <c r="B9" s="23"/>
      <c r="C9" s="63"/>
      <c r="D9" s="63">
        <f>D8/C8-1</f>
        <v>6.3694267515923553E-3</v>
      </c>
      <c r="E9" s="63">
        <f>E8/D8-1</f>
        <v>4.746835443038E-3</v>
      </c>
      <c r="F9" s="63">
        <f>F8/E8-1</f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310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310"/>
      <c r="W9" s="63">
        <v>-2.2018348623853212E-2</v>
      </c>
      <c r="X9" s="23"/>
      <c r="Y9" s="63">
        <v>6.9418386491557182E-2</v>
      </c>
      <c r="Z9" s="63">
        <v>1.0526315789473717E-2</v>
      </c>
      <c r="AA9" s="63">
        <v>-6.076388888888884E-2</v>
      </c>
      <c r="AB9" s="310"/>
      <c r="AC9" s="63">
        <v>0.11275415896487995</v>
      </c>
      <c r="AD9" s="23"/>
    </row>
    <row r="10" spans="1:30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311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311">
        <v>-6.0795454545454541E-2</v>
      </c>
      <c r="W10" s="64">
        <v>-0.11461794019933558</v>
      </c>
      <c r="X10" s="23">
        <v>-7.4513124470787506E-2</v>
      </c>
      <c r="Y10" s="64">
        <v>-5.2356020942407877E-3</v>
      </c>
      <c r="Z10" s="64">
        <v>7.6635514018691619E-2</v>
      </c>
      <c r="AA10" s="64">
        <v>-7.3394495412844041E-3</v>
      </c>
      <c r="AB10" s="311">
        <v>2.0568663036902635E-2</v>
      </c>
      <c r="AC10" s="64">
        <v>0.12945590994371492</v>
      </c>
      <c r="AD10" s="23">
        <v>4.7118023787740215E-2</v>
      </c>
    </row>
    <row r="11" spans="1:30">
      <c r="A11" s="60" t="s">
        <v>47</v>
      </c>
      <c r="B11" s="35">
        <v>1818</v>
      </c>
      <c r="C11" s="61">
        <v>435</v>
      </c>
      <c r="D11" s="61">
        <v>449</v>
      </c>
      <c r="E11" s="61">
        <v>461</v>
      </c>
      <c r="F11" s="61">
        <f>G11-E11-D11-C11</f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v>437</v>
      </c>
      <c r="L11" s="35">
        <v>1755</v>
      </c>
      <c r="M11" s="61">
        <v>417</v>
      </c>
      <c r="N11" s="61">
        <v>430</v>
      </c>
      <c r="O11" s="61">
        <v>446</v>
      </c>
      <c r="P11" s="309">
        <v>1293</v>
      </c>
      <c r="Q11" s="61">
        <v>416</v>
      </c>
      <c r="R11" s="35">
        <v>1709</v>
      </c>
      <c r="S11" s="61">
        <v>405</v>
      </c>
      <c r="T11" s="61">
        <v>394</v>
      </c>
      <c r="U11" s="61">
        <v>396</v>
      </c>
      <c r="V11" s="309">
        <v>1195</v>
      </c>
      <c r="W11" s="61">
        <v>396</v>
      </c>
      <c r="X11" s="35">
        <v>1591</v>
      </c>
      <c r="Y11" s="61">
        <v>392</v>
      </c>
      <c r="Z11" s="61">
        <v>409</v>
      </c>
      <c r="AA11" s="61">
        <v>417</v>
      </c>
      <c r="AB11" s="309">
        <v>1218</v>
      </c>
      <c r="AC11" s="61">
        <v>424</v>
      </c>
      <c r="AD11" s="35">
        <v>1642</v>
      </c>
    </row>
    <row r="12" spans="1:30">
      <c r="A12" s="62" t="s">
        <v>7</v>
      </c>
      <c r="B12" s="23"/>
      <c r="C12" s="63"/>
      <c r="D12" s="63">
        <f>D11/C11-1</f>
        <v>3.2183908045976928E-2</v>
      </c>
      <c r="E12" s="63">
        <f>E11/D11-1</f>
        <v>2.6726057906458767E-2</v>
      </c>
      <c r="F12" s="63">
        <f>F11/E11-1</f>
        <v>-5.2060737527114931E-2</v>
      </c>
      <c r="G12" s="23"/>
      <c r="H12" s="63">
        <v>-1.3729977116704761E-2</v>
      </c>
      <c r="I12" s="63">
        <v>1.6241299303944245E-2</v>
      </c>
      <c r="J12" s="63">
        <v>2.5114155251141579E-2</v>
      </c>
      <c r="K12" s="63">
        <v>-2.6726057906458767E-2</v>
      </c>
      <c r="L12" s="23"/>
      <c r="M12" s="63">
        <v>-4.5766590389015982E-2</v>
      </c>
      <c r="N12" s="63">
        <v>3.1175059952038398E-2</v>
      </c>
      <c r="O12" s="63">
        <v>3.7209302325581506E-2</v>
      </c>
      <c r="P12" s="310"/>
      <c r="Q12" s="63">
        <v>-6.7264573991031362E-2</v>
      </c>
      <c r="R12" s="23"/>
      <c r="S12" s="63">
        <v>-2.6442307692307709E-2</v>
      </c>
      <c r="T12" s="63">
        <v>-2.7160493827160459E-2</v>
      </c>
      <c r="U12" s="63">
        <v>5.0761421319795996E-3</v>
      </c>
      <c r="V12" s="310"/>
      <c r="W12" s="63">
        <v>0</v>
      </c>
      <c r="X12" s="23"/>
      <c r="Y12" s="63">
        <v>-1.0101010101010055E-2</v>
      </c>
      <c r="Z12" s="63">
        <v>4.336734693877542E-2</v>
      </c>
      <c r="AA12" s="63">
        <v>1.9559902200489088E-2</v>
      </c>
      <c r="AB12" s="310"/>
      <c r="AC12" s="63">
        <v>1.6786570743405171E-2</v>
      </c>
      <c r="AD12" s="23"/>
    </row>
    <row r="13" spans="1:30">
      <c r="A13" s="62" t="s">
        <v>8</v>
      </c>
      <c r="B13" s="23"/>
      <c r="C13" s="64"/>
      <c r="D13" s="64"/>
      <c r="E13" s="64"/>
      <c r="F13" s="64"/>
      <c r="G13" s="23">
        <v>-1.980198019801982E-2</v>
      </c>
      <c r="H13" s="64">
        <v>-9.1954022988506301E-3</v>
      </c>
      <c r="I13" s="64">
        <v>-2.4498886414253906E-2</v>
      </c>
      <c r="J13" s="64">
        <v>-2.6030368763557465E-2</v>
      </c>
      <c r="K13" s="64">
        <v>0</v>
      </c>
      <c r="L13" s="23">
        <v>-1.5151515151515138E-2</v>
      </c>
      <c r="M13" s="64">
        <v>-3.2482598607888602E-2</v>
      </c>
      <c r="N13" s="64">
        <v>-1.8264840182648401E-2</v>
      </c>
      <c r="O13" s="64">
        <v>-6.6815144766146917E-3</v>
      </c>
      <c r="P13" s="311"/>
      <c r="Q13" s="64">
        <v>-4.8054919908466776E-2</v>
      </c>
      <c r="R13" s="23">
        <v>-2.6210826210826266E-2</v>
      </c>
      <c r="S13" s="64">
        <v>-2.877697841726623E-2</v>
      </c>
      <c r="T13" s="64">
        <v>-8.3720930232558111E-2</v>
      </c>
      <c r="U13" s="64">
        <v>-0.11210762331838564</v>
      </c>
      <c r="V13" s="311">
        <v>-7.5792730085073479E-2</v>
      </c>
      <c r="W13" s="64">
        <v>-4.8076923076923128E-2</v>
      </c>
      <c r="X13" s="23">
        <v>-6.9046225863077848E-2</v>
      </c>
      <c r="Y13" s="64">
        <v>-3.2098765432098775E-2</v>
      </c>
      <c r="Z13" s="64">
        <v>3.8071065989847774E-2</v>
      </c>
      <c r="AA13" s="64">
        <v>5.3030303030302983E-2</v>
      </c>
      <c r="AB13" s="311">
        <v>1.9246861924686165E-2</v>
      </c>
      <c r="AC13" s="64">
        <v>7.0707070707070718E-2</v>
      </c>
      <c r="AD13" s="23">
        <v>3.2055311125078534E-2</v>
      </c>
    </row>
    <row r="14" spans="1:30">
      <c r="A14" s="60" t="s">
        <v>48</v>
      </c>
      <c r="B14" s="35">
        <v>812</v>
      </c>
      <c r="C14" s="61">
        <v>193</v>
      </c>
      <c r="D14" s="61">
        <v>183</v>
      </c>
      <c r="E14" s="61">
        <v>174</v>
      </c>
      <c r="F14" s="61">
        <f>G14-E14-D14-C14</f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v>181</v>
      </c>
      <c r="L14" s="35">
        <v>688</v>
      </c>
      <c r="M14" s="61">
        <v>161</v>
      </c>
      <c r="N14" s="61">
        <v>140</v>
      </c>
      <c r="O14" s="61">
        <v>166</v>
      </c>
      <c r="P14" s="309">
        <v>467</v>
      </c>
      <c r="Q14" s="61">
        <v>186</v>
      </c>
      <c r="R14" s="35">
        <v>653</v>
      </c>
      <c r="S14" s="61">
        <v>168</v>
      </c>
      <c r="T14" s="61">
        <v>141</v>
      </c>
      <c r="U14" s="61">
        <v>149</v>
      </c>
      <c r="V14" s="309">
        <v>458</v>
      </c>
      <c r="W14" s="61">
        <v>137</v>
      </c>
      <c r="X14" s="35">
        <v>595</v>
      </c>
      <c r="Y14" s="61">
        <v>178</v>
      </c>
      <c r="Z14" s="61">
        <v>167</v>
      </c>
      <c r="AA14" s="61">
        <v>124</v>
      </c>
      <c r="AB14" s="309">
        <v>469</v>
      </c>
      <c r="AC14" s="61">
        <v>178</v>
      </c>
      <c r="AD14" s="35">
        <v>647</v>
      </c>
    </row>
    <row r="15" spans="1:30">
      <c r="A15" s="62" t="s">
        <v>7</v>
      </c>
      <c r="B15" s="23"/>
      <c r="C15" s="63"/>
      <c r="D15" s="63">
        <f>D14/C14-1</f>
        <v>-5.1813471502590636E-2</v>
      </c>
      <c r="E15" s="63">
        <f>E14/D14-1</f>
        <v>-4.9180327868852514E-2</v>
      </c>
      <c r="F15" s="63">
        <f>F14/E14-1</f>
        <v>0.22988505747126431</v>
      </c>
      <c r="G15" s="23"/>
      <c r="H15" s="63">
        <v>-0.12149532710280375</v>
      </c>
      <c r="I15" s="63">
        <v>-0.12765957446808507</v>
      </c>
      <c r="J15" s="63">
        <v>-5.4878048780487854E-2</v>
      </c>
      <c r="K15" s="63">
        <v>0.16774193548387095</v>
      </c>
      <c r="L15" s="23"/>
      <c r="M15" s="63">
        <v>-0.11049723756906082</v>
      </c>
      <c r="N15" s="63">
        <v>-0.13043478260869568</v>
      </c>
      <c r="O15" s="63">
        <v>0.18571428571428572</v>
      </c>
      <c r="P15" s="310"/>
      <c r="Q15" s="63">
        <v>0.12048192771084332</v>
      </c>
      <c r="R15" s="23"/>
      <c r="S15" s="63">
        <v>-9.6774193548387122E-2</v>
      </c>
      <c r="T15" s="63">
        <v>-0.1607142857142857</v>
      </c>
      <c r="U15" s="63">
        <v>5.6737588652482351E-2</v>
      </c>
      <c r="V15" s="310"/>
      <c r="W15" s="63">
        <v>-8.0536912751677847E-2</v>
      </c>
      <c r="X15" s="23"/>
      <c r="Y15" s="63">
        <v>0.2992700729927007</v>
      </c>
      <c r="Z15" s="63">
        <v>-6.1797752808988804E-2</v>
      </c>
      <c r="AA15" s="63">
        <v>-0.25748502994011979</v>
      </c>
      <c r="AB15" s="310"/>
      <c r="AC15" s="63">
        <v>0.43548387096774199</v>
      </c>
      <c r="AD15" s="23"/>
    </row>
    <row r="16" spans="1:30">
      <c r="A16" s="62" t="s">
        <v>8</v>
      </c>
      <c r="B16" s="23"/>
      <c r="C16" s="64"/>
      <c r="D16" s="64"/>
      <c r="E16" s="64"/>
      <c r="F16" s="64"/>
      <c r="G16" s="23">
        <v>-5.9113300492610876E-2</v>
      </c>
      <c r="H16" s="64">
        <v>-2.5906735751295318E-2</v>
      </c>
      <c r="I16" s="64">
        <v>-0.10382513661202186</v>
      </c>
      <c r="J16" s="64">
        <v>-0.10919540229885061</v>
      </c>
      <c r="K16" s="64">
        <v>-0.15420560747663548</v>
      </c>
      <c r="L16" s="23">
        <v>-9.9476439790575966E-2</v>
      </c>
      <c r="M16" s="64">
        <v>-0.1436170212765957</v>
      </c>
      <c r="N16" s="64">
        <v>-0.14634146341463417</v>
      </c>
      <c r="O16" s="64">
        <v>7.0967741935483941E-2</v>
      </c>
      <c r="P16" s="311"/>
      <c r="Q16" s="64">
        <v>2.7624309392265234E-2</v>
      </c>
      <c r="R16" s="23">
        <v>-5.0872093023255793E-2</v>
      </c>
      <c r="S16" s="64">
        <v>4.3478260869565188E-2</v>
      </c>
      <c r="T16" s="64">
        <v>7.1428571428571175E-3</v>
      </c>
      <c r="U16" s="64">
        <v>-0.10240963855421692</v>
      </c>
      <c r="V16" s="311">
        <v>-1.9271948608137079E-2</v>
      </c>
      <c r="W16" s="64">
        <v>-0.26344086021505375</v>
      </c>
      <c r="X16" s="23">
        <v>-8.8820826952526799E-2</v>
      </c>
      <c r="Y16" s="64">
        <v>5.9523809523809534E-2</v>
      </c>
      <c r="Z16" s="64">
        <v>0.18439716312056742</v>
      </c>
      <c r="AA16" s="64">
        <v>-0.16778523489932884</v>
      </c>
      <c r="AB16" s="311">
        <v>2.4017467248908186E-2</v>
      </c>
      <c r="AC16" s="64">
        <v>0.2992700729927007</v>
      </c>
      <c r="AD16" s="23">
        <v>8.7394957983193189E-2</v>
      </c>
    </row>
    <row r="17" spans="1:32" ht="8.25" customHeight="1">
      <c r="A17" s="328"/>
      <c r="B17" s="322"/>
      <c r="C17" s="316"/>
      <c r="D17" s="316"/>
      <c r="E17" s="316"/>
      <c r="F17" s="316"/>
      <c r="G17" s="322"/>
      <c r="H17" s="316"/>
      <c r="I17" s="316"/>
      <c r="J17" s="316"/>
      <c r="K17" s="316"/>
      <c r="L17" s="322"/>
      <c r="M17" s="316"/>
      <c r="N17" s="316"/>
      <c r="O17" s="316"/>
      <c r="P17" s="316"/>
      <c r="Q17" s="316"/>
      <c r="R17" s="322"/>
      <c r="S17" s="316"/>
      <c r="T17" s="316"/>
      <c r="U17" s="316"/>
      <c r="V17" s="316"/>
      <c r="W17" s="316"/>
      <c r="X17" s="322"/>
      <c r="Y17" s="316"/>
      <c r="Z17" s="316"/>
      <c r="AA17" s="316"/>
      <c r="AB17" s="316"/>
      <c r="AC17" s="316"/>
      <c r="AD17" s="322"/>
    </row>
    <row r="18" spans="1:32">
      <c r="A18" s="60" t="s">
        <v>109</v>
      </c>
      <c r="B18" s="35">
        <v>1616</v>
      </c>
      <c r="C18" s="70" t="s">
        <v>38</v>
      </c>
      <c r="D18" s="70" t="s">
        <v>38</v>
      </c>
      <c r="E18" s="70" t="s">
        <v>38</v>
      </c>
      <c r="F18" s="70" t="s">
        <v>38</v>
      </c>
      <c r="G18" s="35">
        <v>1541</v>
      </c>
      <c r="H18" s="70" t="s">
        <v>38</v>
      </c>
      <c r="I18" s="70" t="s">
        <v>38</v>
      </c>
      <c r="J18" s="70" t="s">
        <v>38</v>
      </c>
      <c r="K18" s="70" t="s">
        <v>38</v>
      </c>
      <c r="L18" s="35">
        <v>1415</v>
      </c>
      <c r="M18" s="70" t="s">
        <v>38</v>
      </c>
      <c r="N18" s="70" t="s">
        <v>38</v>
      </c>
      <c r="O18" s="70" t="s">
        <v>38</v>
      </c>
      <c r="P18" s="340" t="s">
        <v>38</v>
      </c>
      <c r="Q18" s="70" t="s">
        <v>38</v>
      </c>
      <c r="R18" s="35">
        <v>1334</v>
      </c>
      <c r="S18" s="70" t="s">
        <v>38</v>
      </c>
      <c r="T18" s="70" t="s">
        <v>38</v>
      </c>
      <c r="U18" s="70" t="s">
        <v>38</v>
      </c>
      <c r="V18" s="340" t="s">
        <v>38</v>
      </c>
      <c r="W18" s="70" t="s">
        <v>38</v>
      </c>
      <c r="X18" s="35">
        <v>1194</v>
      </c>
      <c r="Y18" s="70" t="s">
        <v>38</v>
      </c>
      <c r="Z18" s="70" t="s">
        <v>38</v>
      </c>
      <c r="AA18" s="70" t="s">
        <v>38</v>
      </c>
      <c r="AB18" s="340" t="s">
        <v>38</v>
      </c>
      <c r="AC18" s="70" t="s">
        <v>38</v>
      </c>
      <c r="AD18" s="35">
        <v>1361</v>
      </c>
    </row>
    <row r="19" spans="1:32">
      <c r="A19" s="62" t="s">
        <v>108</v>
      </c>
      <c r="B19" s="23">
        <f>B18/B8</f>
        <v>0.61444866920152086</v>
      </c>
      <c r="C19" s="64"/>
      <c r="D19" s="64"/>
      <c r="E19" s="64"/>
      <c r="F19" s="64"/>
      <c r="G19" s="23">
        <v>0.60526315789473684</v>
      </c>
      <c r="H19" s="64"/>
      <c r="I19" s="64"/>
      <c r="J19" s="64"/>
      <c r="K19" s="64"/>
      <c r="L19" s="23">
        <v>0.57920589439214076</v>
      </c>
      <c r="M19" s="64"/>
      <c r="N19" s="64"/>
      <c r="O19" s="64"/>
      <c r="P19" s="311"/>
      <c r="Q19" s="64"/>
      <c r="R19" s="23">
        <v>0.56477561388653685</v>
      </c>
      <c r="S19" s="64"/>
      <c r="T19" s="64"/>
      <c r="U19" s="64"/>
      <c r="V19" s="311"/>
      <c r="W19" s="64"/>
      <c r="X19" s="23">
        <v>0.54620311070448302</v>
      </c>
      <c r="Y19" s="64"/>
      <c r="Z19" s="64"/>
      <c r="AA19" s="64"/>
      <c r="AB19" s="311"/>
      <c r="AC19" s="64"/>
      <c r="AD19" s="23">
        <v>0.59458278724333768</v>
      </c>
    </row>
    <row r="20" spans="1:32">
      <c r="A20" s="60" t="s">
        <v>107</v>
      </c>
      <c r="B20" s="35">
        <v>1015</v>
      </c>
      <c r="C20" s="70" t="s">
        <v>38</v>
      </c>
      <c r="D20" s="70" t="s">
        <v>38</v>
      </c>
      <c r="E20" s="70" t="s">
        <v>38</v>
      </c>
      <c r="F20" s="70" t="s">
        <v>38</v>
      </c>
      <c r="G20" s="35">
        <v>1005</v>
      </c>
      <c r="H20" s="70" t="s">
        <v>38</v>
      </c>
      <c r="I20" s="70" t="s">
        <v>38</v>
      </c>
      <c r="J20" s="70" t="s">
        <v>38</v>
      </c>
      <c r="K20" s="70" t="s">
        <v>38</v>
      </c>
      <c r="L20" s="35">
        <v>1028</v>
      </c>
      <c r="M20" s="70" t="s">
        <v>38</v>
      </c>
      <c r="N20" s="70" t="s">
        <v>38</v>
      </c>
      <c r="O20" s="70" t="s">
        <v>38</v>
      </c>
      <c r="P20" s="340" t="s">
        <v>38</v>
      </c>
      <c r="Q20" s="70" t="s">
        <v>38</v>
      </c>
      <c r="R20" s="35">
        <v>1028</v>
      </c>
      <c r="S20" s="70" t="s">
        <v>38</v>
      </c>
      <c r="T20" s="70" t="s">
        <v>38</v>
      </c>
      <c r="U20" s="70" t="s">
        <v>38</v>
      </c>
      <c r="V20" s="340" t="s">
        <v>38</v>
      </c>
      <c r="W20" s="70" t="s">
        <v>38</v>
      </c>
      <c r="X20" s="35">
        <v>992</v>
      </c>
      <c r="Y20" s="70" t="s">
        <v>38</v>
      </c>
      <c r="Z20" s="70" t="s">
        <v>38</v>
      </c>
      <c r="AA20" s="70" t="s">
        <v>38</v>
      </c>
      <c r="AB20" s="340" t="s">
        <v>38</v>
      </c>
      <c r="AC20" s="70" t="s">
        <v>38</v>
      </c>
      <c r="AD20" s="35">
        <v>928</v>
      </c>
    </row>
    <row r="21" spans="1:32">
      <c r="A21" s="62" t="s">
        <v>108</v>
      </c>
      <c r="B21" s="23">
        <f>B20/B8</f>
        <v>0.38593155893536124</v>
      </c>
      <c r="C21" s="64"/>
      <c r="D21" s="64"/>
      <c r="E21" s="64"/>
      <c r="F21" s="64"/>
      <c r="G21" s="23">
        <v>0.39473684210526316</v>
      </c>
      <c r="H21" s="64"/>
      <c r="I21" s="64"/>
      <c r="J21" s="64"/>
      <c r="K21" s="64"/>
      <c r="L21" s="23">
        <v>0.42079410560785918</v>
      </c>
      <c r="M21" s="64"/>
      <c r="N21" s="64"/>
      <c r="O21" s="64"/>
      <c r="P21" s="311"/>
      <c r="Q21" s="64"/>
      <c r="R21" s="23">
        <v>0.43522438611346315</v>
      </c>
      <c r="S21" s="64"/>
      <c r="T21" s="64"/>
      <c r="U21" s="64"/>
      <c r="V21" s="311"/>
      <c r="W21" s="64"/>
      <c r="X21" s="23">
        <v>0.45379688929551693</v>
      </c>
      <c r="Y21" s="64"/>
      <c r="Z21" s="64"/>
      <c r="AA21" s="64"/>
      <c r="AB21" s="311"/>
      <c r="AC21" s="64"/>
      <c r="AD21" s="23">
        <v>0.40541721275666232</v>
      </c>
    </row>
    <row r="22" spans="1:32">
      <c r="A22" s="328" t="s">
        <v>27</v>
      </c>
      <c r="B22" s="322"/>
      <c r="C22" s="316"/>
      <c r="D22" s="316"/>
      <c r="E22" s="316"/>
      <c r="F22" s="316"/>
      <c r="G22" s="322"/>
      <c r="H22" s="316"/>
      <c r="I22" s="316"/>
      <c r="J22" s="316"/>
      <c r="K22" s="316"/>
      <c r="L22" s="322"/>
      <c r="M22" s="316"/>
      <c r="N22" s="316"/>
      <c r="O22" s="316"/>
      <c r="P22" s="316"/>
      <c r="Q22" s="316"/>
      <c r="R22" s="322"/>
      <c r="S22" s="316"/>
      <c r="T22" s="316"/>
      <c r="U22" s="316"/>
      <c r="V22" s="316"/>
      <c r="W22" s="316"/>
      <c r="X22" s="322"/>
      <c r="Y22" s="316"/>
      <c r="Z22" s="316"/>
      <c r="AA22" s="316"/>
      <c r="AB22" s="316"/>
      <c r="AC22" s="316"/>
      <c r="AD22" s="322"/>
    </row>
    <row r="23" spans="1:32">
      <c r="A23" s="60" t="s">
        <v>203</v>
      </c>
      <c r="B23" s="35">
        <f>294+86</f>
        <v>380</v>
      </c>
      <c r="C23" s="61">
        <v>94</v>
      </c>
      <c r="D23" s="61">
        <v>99</v>
      </c>
      <c r="E23" s="61">
        <v>100</v>
      </c>
      <c r="F23" s="61">
        <f>G23-E23-D23-C23</f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v>177</v>
      </c>
      <c r="L23" s="35">
        <v>655</v>
      </c>
      <c r="M23" s="61">
        <v>157</v>
      </c>
      <c r="N23" s="61">
        <v>156</v>
      </c>
      <c r="O23" s="61">
        <v>157</v>
      </c>
      <c r="P23" s="309">
        <v>470</v>
      </c>
      <c r="Q23" s="61">
        <v>163</v>
      </c>
      <c r="R23" s="35">
        <v>633</v>
      </c>
      <c r="S23" s="61">
        <v>150</v>
      </c>
      <c r="T23" s="61">
        <v>151</v>
      </c>
      <c r="U23" s="61">
        <v>147</v>
      </c>
      <c r="V23" s="309">
        <v>448</v>
      </c>
      <c r="W23" s="61">
        <v>151</v>
      </c>
      <c r="X23" s="35">
        <v>599</v>
      </c>
      <c r="Y23" s="61">
        <v>142</v>
      </c>
      <c r="Z23" s="61">
        <v>144</v>
      </c>
      <c r="AA23" s="61">
        <v>144</v>
      </c>
      <c r="AB23" s="309">
        <v>430</v>
      </c>
      <c r="AC23" s="61">
        <v>147</v>
      </c>
      <c r="AD23" s="35">
        <v>577</v>
      </c>
    </row>
    <row r="24" spans="1:32">
      <c r="A24" s="72" t="s">
        <v>7</v>
      </c>
      <c r="B24" s="23"/>
      <c r="C24" s="63"/>
      <c r="D24" s="63">
        <f>D23/C23-1</f>
        <v>5.3191489361702038E-2</v>
      </c>
      <c r="E24" s="63">
        <f>E23/D23-1</f>
        <v>1.0101010101010166E-2</v>
      </c>
      <c r="F24" s="63">
        <f>F23/E23-1</f>
        <v>-9.9999999999999978E-2</v>
      </c>
      <c r="G24" s="23"/>
      <c r="H24" s="63">
        <v>0.75555555555555554</v>
      </c>
      <c r="I24" s="63">
        <v>6.3291139240506666E-3</v>
      </c>
      <c r="J24" s="63">
        <v>1.2578616352201255E-2</v>
      </c>
      <c r="K24" s="63">
        <v>9.9378881987577605E-2</v>
      </c>
      <c r="L24" s="23"/>
      <c r="M24" s="63">
        <v>-0.11299435028248583</v>
      </c>
      <c r="N24" s="63">
        <v>-6.3694267515923553E-3</v>
      </c>
      <c r="O24" s="63">
        <v>6.4102564102563875E-3</v>
      </c>
      <c r="P24" s="310"/>
      <c r="Q24" s="63">
        <v>3.8216560509554132E-2</v>
      </c>
      <c r="R24" s="23"/>
      <c r="S24" s="63">
        <v>-7.9754601226993849E-2</v>
      </c>
      <c r="T24" s="63">
        <v>6.6666666666665986E-3</v>
      </c>
      <c r="U24" s="63">
        <v>-2.6490066225165587E-2</v>
      </c>
      <c r="V24" s="310"/>
      <c r="W24" s="63">
        <v>2.7210884353741527E-2</v>
      </c>
      <c r="X24" s="23"/>
      <c r="Y24" s="63">
        <v>-5.9602649006622488E-2</v>
      </c>
      <c r="Z24" s="63">
        <v>1.4084507042253502E-2</v>
      </c>
      <c r="AA24" s="63">
        <v>0</v>
      </c>
      <c r="AB24" s="310"/>
      <c r="AC24" s="63">
        <v>2.0833333333333259E-2</v>
      </c>
      <c r="AD24" s="23"/>
    </row>
    <row r="25" spans="1:32">
      <c r="A25" s="72" t="s">
        <v>8</v>
      </c>
      <c r="B25" s="23"/>
      <c r="C25" s="64"/>
      <c r="D25" s="64"/>
      <c r="E25" s="64"/>
      <c r="F25" s="64"/>
      <c r="G25" s="23">
        <v>7.8947368421051767E-3</v>
      </c>
      <c r="H25" s="64">
        <v>0.68085106382978733</v>
      </c>
      <c r="I25" s="64">
        <v>0.60606060606060597</v>
      </c>
      <c r="J25" s="64">
        <v>0.6100000000000001</v>
      </c>
      <c r="K25" s="64">
        <v>0.96666666666666656</v>
      </c>
      <c r="L25" s="23">
        <v>0.71018276762402088</v>
      </c>
      <c r="M25" s="64">
        <v>-6.3291139240506666E-3</v>
      </c>
      <c r="N25" s="64">
        <v>-1.8867924528301883E-2</v>
      </c>
      <c r="O25" s="64">
        <v>-2.4844720496894457E-2</v>
      </c>
      <c r="P25" s="311"/>
      <c r="Q25" s="64">
        <v>-7.9096045197740161E-2</v>
      </c>
      <c r="R25" s="23">
        <v>-3.3587786259541952E-2</v>
      </c>
      <c r="S25" s="64">
        <v>-4.4585987261146487E-2</v>
      </c>
      <c r="T25" s="64">
        <v>-3.2051282051282048E-2</v>
      </c>
      <c r="U25" s="64">
        <v>-6.3694267515923553E-2</v>
      </c>
      <c r="V25" s="311">
        <v>-4.6808510638297829E-2</v>
      </c>
      <c r="W25" s="64">
        <v>-7.361963190184051E-2</v>
      </c>
      <c r="X25" s="23">
        <v>-5.3712480252764649E-2</v>
      </c>
      <c r="Y25" s="64">
        <v>-5.3333333333333344E-2</v>
      </c>
      <c r="Z25" s="64">
        <v>-4.635761589403975E-2</v>
      </c>
      <c r="AA25" s="64">
        <v>-2.0408163265306145E-2</v>
      </c>
      <c r="AB25" s="311">
        <v>-4.0178571428571397E-2</v>
      </c>
      <c r="AC25" s="64">
        <v>-2.6490066225165587E-2</v>
      </c>
      <c r="AD25" s="23">
        <v>-3.6727879799666074E-2</v>
      </c>
    </row>
    <row r="26" spans="1:32">
      <c r="A26" s="60" t="s">
        <v>69</v>
      </c>
      <c r="B26" s="35">
        <v>378</v>
      </c>
      <c r="C26" s="61">
        <v>98</v>
      </c>
      <c r="D26" s="61">
        <v>94</v>
      </c>
      <c r="E26" s="61">
        <v>94</v>
      </c>
      <c r="F26" s="61">
        <f>G26-E26-D26-C26</f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309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309">
        <v>239</v>
      </c>
      <c r="W26" s="61">
        <v>85</v>
      </c>
      <c r="X26" s="35">
        <v>324</v>
      </c>
      <c r="Y26" s="61">
        <v>79</v>
      </c>
      <c r="Z26" s="61">
        <v>79</v>
      </c>
      <c r="AA26" s="61">
        <v>76</v>
      </c>
      <c r="AB26" s="309">
        <v>234</v>
      </c>
      <c r="AC26" s="61">
        <v>81</v>
      </c>
      <c r="AD26" s="35">
        <v>315</v>
      </c>
      <c r="AE26" s="232"/>
      <c r="AF26" s="232"/>
    </row>
    <row r="27" spans="1:32">
      <c r="A27" s="62" t="s">
        <v>7</v>
      </c>
      <c r="B27" s="23"/>
      <c r="C27" s="63"/>
      <c r="D27" s="63">
        <f>D26/C26-1</f>
        <v>-4.081632653061229E-2</v>
      </c>
      <c r="E27" s="63">
        <f>E26/D26-1</f>
        <v>0</v>
      </c>
      <c r="F27" s="63">
        <f>F26/E26-1</f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310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310"/>
      <c r="W27" s="63">
        <v>7.5949367088607556E-2</v>
      </c>
      <c r="X27" s="23"/>
      <c r="Y27" s="63">
        <v>-7.0588235294117618E-2</v>
      </c>
      <c r="Z27" s="63">
        <v>0</v>
      </c>
      <c r="AA27" s="63">
        <v>-3.7974683544303778E-2</v>
      </c>
      <c r="AB27" s="310"/>
      <c r="AC27" s="63">
        <v>6.578947368421062E-2</v>
      </c>
      <c r="AD27" s="23"/>
    </row>
    <row r="28" spans="1:32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311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311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A28" s="64">
        <v>-3.7974683544303778E-2</v>
      </c>
      <c r="AB28" s="311">
        <v>-2.0920502092050208E-2</v>
      </c>
      <c r="AC28" s="64">
        <v>-4.705882352941182E-2</v>
      </c>
      <c r="AD28" s="23">
        <v>-2.777777777777779E-2</v>
      </c>
    </row>
    <row r="29" spans="1:32">
      <c r="A29" s="60" t="s">
        <v>224</v>
      </c>
      <c r="B29" s="35">
        <v>1838</v>
      </c>
      <c r="C29" s="61">
        <v>431</v>
      </c>
      <c r="D29" s="61">
        <v>409</v>
      </c>
      <c r="E29" s="61">
        <v>419</v>
      </c>
      <c r="F29" s="61">
        <f>G29-E29-D29-C29</f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309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309">
        <v>1017</v>
      </c>
      <c r="W29" s="61">
        <v>312</v>
      </c>
      <c r="X29" s="35">
        <v>1329</v>
      </c>
      <c r="Y29" s="61">
        <v>352</v>
      </c>
      <c r="Z29" s="61">
        <v>341</v>
      </c>
      <c r="AA29" s="61">
        <v>299</v>
      </c>
      <c r="AB29" s="309">
        <v>992</v>
      </c>
      <c r="AC29" s="61">
        <v>354</v>
      </c>
      <c r="AD29" s="35">
        <v>1346</v>
      </c>
    </row>
    <row r="30" spans="1:32">
      <c r="A30" s="62" t="s">
        <v>7</v>
      </c>
      <c r="B30" s="23"/>
      <c r="C30" s="63"/>
      <c r="D30" s="63">
        <f>D29/C29-1</f>
        <v>-5.1044083526682105E-2</v>
      </c>
      <c r="E30" s="63">
        <f>E29/D29-1</f>
        <v>2.4449877750611249E-2</v>
      </c>
      <c r="F30" s="63">
        <f>F29/E29-1</f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310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310"/>
      <c r="W30" s="63">
        <v>-9.8265895953757232E-2</v>
      </c>
      <c r="X30" s="23"/>
      <c r="Y30" s="63">
        <v>0.12820512820512819</v>
      </c>
      <c r="Z30" s="63">
        <v>-3.125E-2</v>
      </c>
      <c r="AA30" s="63">
        <v>-0.12316715542521994</v>
      </c>
      <c r="AB30" s="310"/>
      <c r="AC30" s="63">
        <v>0.18394648829431448</v>
      </c>
      <c r="AD30" s="23"/>
    </row>
    <row r="31" spans="1:32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311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311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A31" s="64">
        <v>-0.13583815028901736</v>
      </c>
      <c r="AB31" s="311">
        <v>-2.4582104228121904E-2</v>
      </c>
      <c r="AC31" s="64">
        <v>0.13461538461538458</v>
      </c>
      <c r="AD31" s="23">
        <v>1.2791572610985735E-2</v>
      </c>
    </row>
    <row r="32" spans="1:32">
      <c r="A32" s="60" t="s">
        <v>72</v>
      </c>
      <c r="B32" s="35">
        <v>2</v>
      </c>
      <c r="C32" s="61">
        <v>0</v>
      </c>
      <c r="D32" s="61">
        <v>0</v>
      </c>
      <c r="E32" s="61">
        <v>0</v>
      </c>
      <c r="F32" s="135">
        <v>9</v>
      </c>
      <c r="G32" s="55">
        <v>9</v>
      </c>
      <c r="H32" s="61">
        <v>0</v>
      </c>
      <c r="I32" s="135">
        <v>1</v>
      </c>
      <c r="J32" s="135">
        <v>7</v>
      </c>
      <c r="K32" s="135">
        <v>1</v>
      </c>
      <c r="L32" s="55">
        <v>9</v>
      </c>
      <c r="M32" s="61">
        <v>0</v>
      </c>
      <c r="N32" s="135">
        <v>3</v>
      </c>
      <c r="O32" s="135">
        <v>2</v>
      </c>
      <c r="P32" s="312">
        <v>5</v>
      </c>
      <c r="Q32" s="135">
        <v>77</v>
      </c>
      <c r="R32" s="55">
        <v>82</v>
      </c>
      <c r="S32" s="135">
        <v>1</v>
      </c>
      <c r="T32" s="135">
        <v>-4</v>
      </c>
      <c r="U32" s="61">
        <v>0</v>
      </c>
      <c r="V32" s="312">
        <v>-3</v>
      </c>
      <c r="W32" s="135">
        <v>21</v>
      </c>
      <c r="X32" s="55">
        <v>18</v>
      </c>
      <c r="Y32" s="61">
        <v>0</v>
      </c>
      <c r="Z32" s="135">
        <v>-3</v>
      </c>
      <c r="AA32" s="61">
        <v>0</v>
      </c>
      <c r="AB32" s="312">
        <v>-3</v>
      </c>
      <c r="AC32" s="135">
        <v>12</v>
      </c>
      <c r="AD32" s="55">
        <v>9</v>
      </c>
    </row>
    <row r="33" spans="1:30">
      <c r="A33" s="60"/>
      <c r="B33" s="35"/>
      <c r="C33" s="135"/>
      <c r="D33" s="135"/>
      <c r="E33" s="135"/>
      <c r="F33" s="135"/>
      <c r="G33" s="55"/>
      <c r="H33" s="61"/>
      <c r="I33" s="135"/>
      <c r="J33" s="135"/>
      <c r="K33" s="135"/>
      <c r="L33" s="55"/>
      <c r="M33" s="61"/>
      <c r="N33" s="135"/>
      <c r="O33" s="135"/>
      <c r="P33" s="312"/>
      <c r="Q33" s="135"/>
      <c r="R33" s="55"/>
      <c r="S33" s="135"/>
      <c r="T33" s="135"/>
      <c r="U33" s="135"/>
      <c r="V33" s="312"/>
      <c r="W33" s="135"/>
      <c r="X33" s="55"/>
      <c r="Y33" s="135"/>
      <c r="Z33" s="135"/>
      <c r="AA33" s="135"/>
      <c r="AB33" s="312"/>
      <c r="AC33" s="135"/>
      <c r="AD33" s="55"/>
    </row>
    <row r="34" spans="1:30">
      <c r="A34" s="60" t="s">
        <v>357</v>
      </c>
      <c r="B34" s="35"/>
      <c r="C34" s="135"/>
      <c r="D34" s="135"/>
      <c r="E34" s="135"/>
      <c r="F34" s="135"/>
      <c r="G34" s="55">
        <v>2474</v>
      </c>
      <c r="H34" s="61"/>
      <c r="I34" s="135"/>
      <c r="J34" s="135"/>
      <c r="K34" s="135"/>
      <c r="L34" s="55">
        <v>2445</v>
      </c>
      <c r="M34" s="135">
        <v>588</v>
      </c>
      <c r="N34" s="135">
        <v>578</v>
      </c>
      <c r="O34" s="135">
        <v>596</v>
      </c>
      <c r="P34" s="309">
        <v>1762</v>
      </c>
      <c r="Q34" s="61">
        <v>699</v>
      </c>
      <c r="R34" s="55">
        <v>2461</v>
      </c>
      <c r="S34" s="135">
        <v>586</v>
      </c>
      <c r="T34" s="135">
        <v>543</v>
      </c>
      <c r="U34" s="135">
        <v>572</v>
      </c>
      <c r="V34" s="309">
        <v>1701</v>
      </c>
      <c r="W34" s="61">
        <v>569</v>
      </c>
      <c r="X34" s="55">
        <v>2270</v>
      </c>
      <c r="Y34" s="135">
        <v>573</v>
      </c>
      <c r="Z34" s="135">
        <v>561</v>
      </c>
      <c r="AA34" s="135">
        <v>519</v>
      </c>
      <c r="AB34" s="309">
        <v>1653</v>
      </c>
      <c r="AC34" s="61">
        <v>594</v>
      </c>
      <c r="AD34" s="55">
        <v>2247</v>
      </c>
    </row>
    <row r="35" spans="1:30" ht="7.5" customHeight="1">
      <c r="A35" s="328" t="s">
        <v>401</v>
      </c>
      <c r="B35" s="316"/>
      <c r="C35" s="316"/>
      <c r="D35" s="316"/>
      <c r="E35" s="316"/>
      <c r="F35" s="322"/>
      <c r="G35" s="316"/>
      <c r="H35" s="316"/>
      <c r="I35" s="316"/>
      <c r="J35" s="316"/>
      <c r="K35" s="322"/>
      <c r="L35" s="316"/>
      <c r="M35" s="316"/>
      <c r="N35" s="316"/>
      <c r="O35" s="316"/>
      <c r="P35" s="316"/>
      <c r="Q35" s="322"/>
      <c r="R35" s="316"/>
      <c r="S35" s="316"/>
      <c r="T35" s="316"/>
      <c r="U35" s="316"/>
      <c r="V35" s="316"/>
      <c r="W35" s="322"/>
      <c r="X35" s="316"/>
      <c r="Y35" s="316"/>
      <c r="Z35" s="316"/>
      <c r="AA35" s="316"/>
      <c r="AB35" s="316"/>
      <c r="AC35" s="322"/>
      <c r="AD35" s="316"/>
    </row>
    <row r="36" spans="1:30">
      <c r="A36" s="60" t="s">
        <v>204</v>
      </c>
      <c r="B36" s="35">
        <v>32</v>
      </c>
      <c r="C36" s="61">
        <v>5</v>
      </c>
      <c r="D36" s="61">
        <v>30</v>
      </c>
      <c r="E36" s="61">
        <v>22</v>
      </c>
      <c r="F36" s="61">
        <f>G36-E36-D36-C36</f>
        <v>15</v>
      </c>
      <c r="G36" s="159">
        <v>72</v>
      </c>
      <c r="H36" s="61">
        <v>2</v>
      </c>
      <c r="I36" s="61">
        <v>2</v>
      </c>
      <c r="J36" s="165">
        <v>-2</v>
      </c>
      <c r="K36" s="165">
        <v>-4</v>
      </c>
      <c r="L36" s="159">
        <v>-2</v>
      </c>
      <c r="M36" s="165">
        <v>-10</v>
      </c>
      <c r="N36" s="165">
        <v>-8</v>
      </c>
      <c r="O36" s="165">
        <v>16</v>
      </c>
      <c r="P36" s="312">
        <v>-2</v>
      </c>
      <c r="Q36" s="165">
        <v>-97</v>
      </c>
      <c r="R36" s="159">
        <v>-99</v>
      </c>
      <c r="S36" s="165">
        <v>-13</v>
      </c>
      <c r="T36" s="165">
        <v>-8</v>
      </c>
      <c r="U36" s="165">
        <v>-27</v>
      </c>
      <c r="V36" s="312">
        <v>-48</v>
      </c>
      <c r="W36" s="165">
        <v>-36</v>
      </c>
      <c r="X36" s="159">
        <v>-84</v>
      </c>
      <c r="Y36" s="165">
        <v>-3</v>
      </c>
      <c r="Z36" s="165">
        <v>15</v>
      </c>
      <c r="AA36" s="165">
        <v>22</v>
      </c>
      <c r="AB36" s="312">
        <v>34</v>
      </c>
      <c r="AC36" s="165">
        <v>8</v>
      </c>
      <c r="AD36" s="159">
        <v>42</v>
      </c>
    </row>
    <row r="37" spans="1:30">
      <c r="A37" s="62" t="s">
        <v>7</v>
      </c>
      <c r="B37" s="23"/>
      <c r="C37" s="63"/>
      <c r="D37" s="63">
        <f>D36/C36-1</f>
        <v>5</v>
      </c>
      <c r="E37" s="63">
        <f>E36/D36-1</f>
        <v>-0.26666666666666672</v>
      </c>
      <c r="F37" s="63">
        <f>F36/E36-1</f>
        <v>-0.31818181818181823</v>
      </c>
      <c r="G37" s="23"/>
      <c r="H37" s="63">
        <v>-0.8666666666666667</v>
      </c>
      <c r="I37" s="63">
        <v>0</v>
      </c>
      <c r="J37" s="75" t="s">
        <v>34</v>
      </c>
      <c r="K37" s="63">
        <v>1</v>
      </c>
      <c r="L37" s="23"/>
      <c r="M37" s="63">
        <v>1.5</v>
      </c>
      <c r="N37" s="63">
        <v>-0.19999999999999996</v>
      </c>
      <c r="O37" s="75" t="s">
        <v>34</v>
      </c>
      <c r="P37" s="313"/>
      <c r="Q37" s="75" t="s">
        <v>34</v>
      </c>
      <c r="R37" s="23"/>
      <c r="S37" s="63">
        <v>-0.865979381443299</v>
      </c>
      <c r="T37" s="63">
        <v>-0.38461538461538458</v>
      </c>
      <c r="U37" s="63">
        <v>2.375</v>
      </c>
      <c r="V37" s="313"/>
      <c r="W37" s="63">
        <v>0.33333333333333326</v>
      </c>
      <c r="X37" s="23"/>
      <c r="Y37" s="63">
        <v>-0.91666666666666663</v>
      </c>
      <c r="Z37" s="75" t="s">
        <v>34</v>
      </c>
      <c r="AA37" s="63">
        <v>0.46666666666666656</v>
      </c>
      <c r="AB37" s="313"/>
      <c r="AC37" s="63">
        <v>-0.63636363636363635</v>
      </c>
      <c r="AD37" s="23"/>
    </row>
    <row r="38" spans="1:30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34</v>
      </c>
      <c r="L38" s="82" t="s">
        <v>34</v>
      </c>
      <c r="M38" s="75" t="s">
        <v>34</v>
      </c>
      <c r="N38" s="75" t="s">
        <v>34</v>
      </c>
      <c r="O38" s="75" t="s">
        <v>34</v>
      </c>
      <c r="P38" s="311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34</v>
      </c>
      <c r="V38" s="311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34</v>
      </c>
      <c r="AA38" s="75" t="s">
        <v>34</v>
      </c>
      <c r="AB38" s="313" t="s">
        <v>34</v>
      </c>
      <c r="AC38" s="75" t="s">
        <v>34</v>
      </c>
      <c r="AD38" s="82" t="s">
        <v>34</v>
      </c>
    </row>
    <row r="39" spans="1:30">
      <c r="A39" s="60" t="s">
        <v>260</v>
      </c>
      <c r="B39" s="35">
        <v>61</v>
      </c>
      <c r="C39" s="61">
        <v>16</v>
      </c>
      <c r="D39" s="61">
        <v>34</v>
      </c>
      <c r="E39" s="61">
        <v>24</v>
      </c>
      <c r="F39" s="61">
        <f>G39-E39-D39-C39</f>
        <v>21</v>
      </c>
      <c r="G39" s="35">
        <v>95</v>
      </c>
      <c r="H39" s="61">
        <v>9</v>
      </c>
      <c r="I39" s="61">
        <v>7</v>
      </c>
      <c r="J39" s="61">
        <v>6</v>
      </c>
      <c r="K39" s="61">
        <v>2</v>
      </c>
      <c r="L39" s="35">
        <v>24</v>
      </c>
      <c r="M39" s="61">
        <v>2</v>
      </c>
      <c r="N39" s="61">
        <v>2</v>
      </c>
      <c r="O39" s="61">
        <v>18</v>
      </c>
      <c r="P39" s="312">
        <v>22</v>
      </c>
      <c r="Q39" s="165">
        <v>-69</v>
      </c>
      <c r="R39" s="159">
        <v>-47</v>
      </c>
      <c r="S39" s="165">
        <v>-2</v>
      </c>
      <c r="T39" s="61">
        <v>1</v>
      </c>
      <c r="U39" s="165">
        <v>-12</v>
      </c>
      <c r="V39" s="312">
        <v>-13</v>
      </c>
      <c r="W39" s="165">
        <v>-12</v>
      </c>
      <c r="X39" s="159">
        <v>-25</v>
      </c>
      <c r="Y39" s="165">
        <v>8</v>
      </c>
      <c r="Z39" s="61">
        <v>20</v>
      </c>
      <c r="AA39" s="165">
        <v>23</v>
      </c>
      <c r="AB39" s="312">
        <v>51</v>
      </c>
      <c r="AC39" s="165">
        <v>13</v>
      </c>
      <c r="AD39" s="159">
        <v>64</v>
      </c>
    </row>
    <row r="40" spans="1:30">
      <c r="A40" s="62" t="s">
        <v>7</v>
      </c>
      <c r="B40" s="23"/>
      <c r="C40" s="63"/>
      <c r="D40" s="63">
        <f>D39/C39-1</f>
        <v>1.125</v>
      </c>
      <c r="E40" s="63">
        <f>E39/D39-1</f>
        <v>-0.29411764705882348</v>
      </c>
      <c r="F40" s="63">
        <f>F39/E39-1</f>
        <v>-0.125</v>
      </c>
      <c r="G40" s="23"/>
      <c r="H40" s="63">
        <v>-0.5714285714285714</v>
      </c>
      <c r="I40" s="63">
        <v>-0.22222222222222221</v>
      </c>
      <c r="J40" s="63">
        <v>-0.1428571428571429</v>
      </c>
      <c r="K40" s="63">
        <v>-0.66666666666666674</v>
      </c>
      <c r="L40" s="23"/>
      <c r="M40" s="63">
        <v>0</v>
      </c>
      <c r="N40" s="63">
        <v>0</v>
      </c>
      <c r="O40" s="63">
        <v>8</v>
      </c>
      <c r="P40" s="310"/>
      <c r="Q40" s="75" t="s">
        <v>34</v>
      </c>
      <c r="R40" s="23"/>
      <c r="S40" s="63">
        <v>-0.97101449275362317</v>
      </c>
      <c r="T40" s="75" t="s">
        <v>34</v>
      </c>
      <c r="U40" s="75" t="s">
        <v>34</v>
      </c>
      <c r="V40" s="310"/>
      <c r="W40" s="63">
        <v>0</v>
      </c>
      <c r="X40" s="23"/>
      <c r="Y40" s="75" t="s">
        <v>34</v>
      </c>
      <c r="Z40" s="63">
        <v>1.5</v>
      </c>
      <c r="AA40" s="63">
        <v>0.14999999999999991</v>
      </c>
      <c r="AB40" s="310"/>
      <c r="AC40" s="63">
        <v>-0.43478260869565222</v>
      </c>
      <c r="AD40" s="23"/>
    </row>
    <row r="41" spans="1:30">
      <c r="A41" s="62" t="s">
        <v>8</v>
      </c>
      <c r="B41" s="23"/>
      <c r="C41" s="64"/>
      <c r="D41" s="64"/>
      <c r="E41" s="64"/>
      <c r="F41" s="64"/>
      <c r="G41" s="23">
        <v>0.55737704918032782</v>
      </c>
      <c r="H41" s="64">
        <v>-0.4375</v>
      </c>
      <c r="I41" s="64">
        <v>-0.79411764705882359</v>
      </c>
      <c r="J41" s="64">
        <v>-0.75</v>
      </c>
      <c r="K41" s="64">
        <v>-0.90476190476190477</v>
      </c>
      <c r="L41" s="23">
        <v>-0.74736842105263157</v>
      </c>
      <c r="M41" s="64">
        <v>-0.77777777777777779</v>
      </c>
      <c r="N41" s="64">
        <v>-0.7142857142857143</v>
      </c>
      <c r="O41" s="64">
        <v>2</v>
      </c>
      <c r="P41" s="313"/>
      <c r="Q41" s="75" t="s">
        <v>34</v>
      </c>
      <c r="R41" s="23">
        <v>-2.958333333333333</v>
      </c>
      <c r="S41" s="75" t="s">
        <v>34</v>
      </c>
      <c r="T41" s="64">
        <v>-0.5</v>
      </c>
      <c r="U41" s="64">
        <v>-1.6666666666666665</v>
      </c>
      <c r="V41" s="313" t="s">
        <v>34</v>
      </c>
      <c r="W41" s="64">
        <v>-0.82608695652173914</v>
      </c>
      <c r="X41" s="23">
        <v>-0.46808510638297873</v>
      </c>
      <c r="Y41" s="75" t="s">
        <v>34</v>
      </c>
      <c r="Z41" s="64">
        <v>19</v>
      </c>
      <c r="AA41" s="75" t="s">
        <v>34</v>
      </c>
      <c r="AB41" s="313" t="s">
        <v>34</v>
      </c>
      <c r="AC41" s="75" t="s">
        <v>34</v>
      </c>
      <c r="AD41" s="82" t="s">
        <v>34</v>
      </c>
    </row>
    <row r="42" spans="1:30">
      <c r="A42" s="79" t="s">
        <v>335</v>
      </c>
      <c r="B42" s="159">
        <f>B39+(B32*0.77)</f>
        <v>62.54</v>
      </c>
      <c r="C42" s="165">
        <f>C39+(C32*0.77)</f>
        <v>16</v>
      </c>
      <c r="D42" s="165">
        <f>D39+(D32*0.77)</f>
        <v>34</v>
      </c>
      <c r="E42" s="165">
        <f>E39+(E32*0.77)</f>
        <v>24</v>
      </c>
      <c r="F42" s="61">
        <f>G42-E42-D42-C42</f>
        <v>27.930000000000007</v>
      </c>
      <c r="G42" s="159">
        <v>101.93</v>
      </c>
      <c r="H42" s="165">
        <v>9</v>
      </c>
      <c r="I42" s="165">
        <v>7.77</v>
      </c>
      <c r="J42" s="165">
        <v>11.39</v>
      </c>
      <c r="K42" s="165">
        <v>2.7699999999999996</v>
      </c>
      <c r="L42" s="159">
        <v>30.93</v>
      </c>
      <c r="M42" s="165">
        <v>2</v>
      </c>
      <c r="N42" s="165">
        <v>4.3100000000000005</v>
      </c>
      <c r="O42" s="165">
        <v>19.54</v>
      </c>
      <c r="P42" s="312">
        <v>25.85</v>
      </c>
      <c r="Q42" s="165">
        <v>-9.7099999999999991</v>
      </c>
      <c r="R42" s="159">
        <v>16.14</v>
      </c>
      <c r="S42" s="165">
        <v>-1.23</v>
      </c>
      <c r="T42" s="165">
        <v>-2.08</v>
      </c>
      <c r="U42" s="165">
        <v>-12</v>
      </c>
      <c r="V42" s="312">
        <v>-15.31</v>
      </c>
      <c r="W42" s="165">
        <v>4.17</v>
      </c>
      <c r="X42" s="159">
        <v>-11.14</v>
      </c>
      <c r="Y42" s="165">
        <v>9</v>
      </c>
      <c r="Z42" s="165">
        <v>18.690000000000001</v>
      </c>
      <c r="AA42" s="165">
        <v>24</v>
      </c>
      <c r="AB42" s="312">
        <v>51.69</v>
      </c>
      <c r="AC42" s="165">
        <v>23.240000000000002</v>
      </c>
      <c r="AD42" s="159">
        <v>74.930000000000007</v>
      </c>
    </row>
    <row r="43" spans="1:30">
      <c r="A43" s="62" t="s">
        <v>7</v>
      </c>
      <c r="B43" s="23"/>
      <c r="C43" s="64"/>
      <c r="D43" s="64"/>
      <c r="E43" s="64"/>
      <c r="F43" s="64"/>
      <c r="G43" s="23"/>
      <c r="H43" s="63"/>
      <c r="I43" s="63">
        <v>-0.13666666666666671</v>
      </c>
      <c r="J43" s="63">
        <v>0.46589446589446615</v>
      </c>
      <c r="K43" s="63">
        <v>-0.7568042142230027</v>
      </c>
      <c r="L43" s="23"/>
      <c r="M43" s="63">
        <v>-0.27797833935018035</v>
      </c>
      <c r="N43" s="63">
        <v>1.1550000000000002</v>
      </c>
      <c r="O43" s="63">
        <v>3.5336426914153121</v>
      </c>
      <c r="P43" s="310"/>
      <c r="Q43" s="75" t="s">
        <v>34</v>
      </c>
      <c r="R43" s="23"/>
      <c r="S43" s="63">
        <v>-0.87332646755921728</v>
      </c>
      <c r="T43" s="63">
        <v>0.69105691056910579</v>
      </c>
      <c r="U43" s="63">
        <v>4.7692307692307692</v>
      </c>
      <c r="V43" s="310"/>
      <c r="W43" s="75" t="s">
        <v>34</v>
      </c>
      <c r="X43" s="23"/>
      <c r="Y43" s="63">
        <v>1.1582733812949639</v>
      </c>
      <c r="Z43" s="63">
        <v>1.0766666666666667</v>
      </c>
      <c r="AA43" s="63">
        <v>0.2841091492776886</v>
      </c>
      <c r="AB43" s="310"/>
      <c r="AC43" s="63">
        <v>0</v>
      </c>
      <c r="AD43" s="23"/>
    </row>
    <row r="44" spans="1:30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4"/>
      <c r="L44" s="23">
        <v>-0.69655646031590313</v>
      </c>
      <c r="M44" s="64">
        <v>-0.77777777777777779</v>
      </c>
      <c r="N44" s="64">
        <v>-0.44530244530244523</v>
      </c>
      <c r="O44" s="64">
        <v>0.71553994732221238</v>
      </c>
      <c r="P44" s="313"/>
      <c r="Q44" s="75" t="s">
        <v>34</v>
      </c>
      <c r="R44" s="23">
        <v>-0.47817652764306495</v>
      </c>
      <c r="S44" s="64">
        <v>-1.615</v>
      </c>
      <c r="T44" s="75" t="s">
        <v>34</v>
      </c>
      <c r="U44" s="64">
        <v>-1.6141248720573182</v>
      </c>
      <c r="V44" s="313" t="s">
        <v>34</v>
      </c>
      <c r="W44" s="75" t="s">
        <v>34</v>
      </c>
      <c r="X44" s="23">
        <v>-1.6902106567534076</v>
      </c>
      <c r="Y44" s="64">
        <v>-8.3170731707317067</v>
      </c>
      <c r="Z44" s="75" t="s">
        <v>34</v>
      </c>
      <c r="AA44" s="75" t="s">
        <v>34</v>
      </c>
      <c r="AB44" s="313" t="s">
        <v>34</v>
      </c>
      <c r="AC44" s="64">
        <v>4.5731414868105524</v>
      </c>
      <c r="AD44" s="82" t="s">
        <v>34</v>
      </c>
    </row>
    <row r="45" spans="1:30">
      <c r="A45" s="60" t="s">
        <v>197</v>
      </c>
      <c r="B45" s="35">
        <f>B23+B36</f>
        <v>412</v>
      </c>
      <c r="C45" s="67">
        <f>C36+C23</f>
        <v>99</v>
      </c>
      <c r="D45" s="67">
        <f>D36+D23</f>
        <v>129</v>
      </c>
      <c r="E45" s="67">
        <f>E36+E23</f>
        <v>122</v>
      </c>
      <c r="F45" s="61">
        <f>G45-E45-D45-C45</f>
        <v>105</v>
      </c>
      <c r="G45" s="35">
        <v>455</v>
      </c>
      <c r="H45" s="67">
        <v>160</v>
      </c>
      <c r="I45" s="67">
        <v>161</v>
      </c>
      <c r="J45" s="67">
        <v>159</v>
      </c>
      <c r="K45" s="61">
        <v>173</v>
      </c>
      <c r="L45" s="35">
        <v>653</v>
      </c>
      <c r="M45" s="67">
        <v>147</v>
      </c>
      <c r="N45" s="67">
        <v>148</v>
      </c>
      <c r="O45" s="67">
        <v>173</v>
      </c>
      <c r="P45" s="309">
        <v>468</v>
      </c>
      <c r="Q45" s="131">
        <v>66</v>
      </c>
      <c r="R45" s="35">
        <v>534</v>
      </c>
      <c r="S45" s="67">
        <v>137</v>
      </c>
      <c r="T45" s="67">
        <v>143</v>
      </c>
      <c r="U45" s="67">
        <v>120</v>
      </c>
      <c r="V45" s="309">
        <v>400</v>
      </c>
      <c r="W45" s="131">
        <v>115</v>
      </c>
      <c r="X45" s="35">
        <v>515</v>
      </c>
      <c r="Y45" s="67">
        <v>139</v>
      </c>
      <c r="Z45" s="67">
        <v>159</v>
      </c>
      <c r="AA45" s="67">
        <v>166</v>
      </c>
      <c r="AB45" s="309">
        <v>464</v>
      </c>
      <c r="AC45" s="131">
        <v>155</v>
      </c>
      <c r="AD45" s="35">
        <v>619</v>
      </c>
    </row>
    <row r="46" spans="1:30">
      <c r="A46" s="62" t="s">
        <v>7</v>
      </c>
      <c r="B46" s="23"/>
      <c r="C46" s="63"/>
      <c r="D46" s="63">
        <f>D45/C45-1</f>
        <v>0.30303030303030298</v>
      </c>
      <c r="E46" s="63">
        <f>E45/D45-1</f>
        <v>-5.4263565891472854E-2</v>
      </c>
      <c r="F46" s="63">
        <f>F45/E45-1</f>
        <v>-0.13934426229508201</v>
      </c>
      <c r="G46" s="23"/>
      <c r="H46" s="63">
        <v>0.52380952380952372</v>
      </c>
      <c r="I46" s="63">
        <v>6.2500000000000888E-3</v>
      </c>
      <c r="J46" s="63">
        <v>-1.2422360248447228E-2</v>
      </c>
      <c r="K46" s="63">
        <v>8.8050314465408785E-2</v>
      </c>
      <c r="L46" s="23"/>
      <c r="M46" s="63">
        <v>-0.1502890173410405</v>
      </c>
      <c r="N46" s="63">
        <v>6.8027210884353817E-3</v>
      </c>
      <c r="O46" s="63">
        <v>0.16891891891891886</v>
      </c>
      <c r="P46" s="310"/>
      <c r="Q46" s="63">
        <v>-0.61849710982658967</v>
      </c>
      <c r="R46" s="23"/>
      <c r="S46" s="63">
        <v>1.0757575757575757</v>
      </c>
      <c r="T46" s="63">
        <v>4.3795620437956151E-2</v>
      </c>
      <c r="U46" s="63">
        <v>-0.16083916083916083</v>
      </c>
      <c r="V46" s="310"/>
      <c r="W46" s="63">
        <v>-4.166666666666663E-2</v>
      </c>
      <c r="X46" s="23"/>
      <c r="Y46" s="63">
        <v>0.20869565217391295</v>
      </c>
      <c r="Z46" s="63">
        <v>0.14388489208633093</v>
      </c>
      <c r="AA46" s="63">
        <v>4.4025157232704393E-2</v>
      </c>
      <c r="AB46" s="310"/>
      <c r="AC46" s="63">
        <v>-6.6265060240963902E-2</v>
      </c>
      <c r="AD46" s="23"/>
    </row>
    <row r="47" spans="1:30">
      <c r="A47" s="62" t="s">
        <v>8</v>
      </c>
      <c r="B47" s="23"/>
      <c r="C47" s="64"/>
      <c r="D47" s="64"/>
      <c r="E47" s="64"/>
      <c r="F47" s="64"/>
      <c r="G47" s="23">
        <v>0.10436893203883502</v>
      </c>
      <c r="H47" s="64">
        <v>0.61616161616161613</v>
      </c>
      <c r="I47" s="64">
        <v>0.24806201550387597</v>
      </c>
      <c r="J47" s="64">
        <v>0.30327868852459017</v>
      </c>
      <c r="K47" s="64">
        <v>0.64761904761904754</v>
      </c>
      <c r="L47" s="23">
        <v>0.43516483516483517</v>
      </c>
      <c r="M47" s="64">
        <v>-8.1250000000000044E-2</v>
      </c>
      <c r="N47" s="64">
        <v>-8.0745341614906874E-2</v>
      </c>
      <c r="O47" s="64">
        <v>8.8050314465408785E-2</v>
      </c>
      <c r="P47" s="311"/>
      <c r="Q47" s="64">
        <v>-0.61849710982658967</v>
      </c>
      <c r="R47" s="23">
        <v>-0.18223583460949466</v>
      </c>
      <c r="S47" s="64">
        <v>-6.8027210884353706E-2</v>
      </c>
      <c r="T47" s="64">
        <v>-3.3783783783783772E-2</v>
      </c>
      <c r="U47" s="64">
        <v>-0.30635838150289019</v>
      </c>
      <c r="V47" s="311">
        <v>-0.14529914529914534</v>
      </c>
      <c r="W47" s="64">
        <v>0.74242424242424243</v>
      </c>
      <c r="X47" s="23">
        <v>-3.5580524344569264E-2</v>
      </c>
      <c r="Y47" s="64">
        <v>1.4598540145985384E-2</v>
      </c>
      <c r="Z47" s="64">
        <v>0.11188811188811187</v>
      </c>
      <c r="AA47" s="64">
        <v>0.3833333333333333</v>
      </c>
      <c r="AB47" s="311">
        <v>0.15999999999999992</v>
      </c>
      <c r="AC47" s="64">
        <v>0.34782608695652173</v>
      </c>
      <c r="AD47" s="23">
        <v>0.20194174757281558</v>
      </c>
    </row>
    <row r="48" spans="1:30">
      <c r="A48" s="79" t="s">
        <v>290</v>
      </c>
      <c r="B48" s="55">
        <f>B45+B32</f>
        <v>414</v>
      </c>
      <c r="C48" s="135">
        <f>C45</f>
        <v>99</v>
      </c>
      <c r="D48" s="135">
        <f>D45</f>
        <v>129</v>
      </c>
      <c r="E48" s="135">
        <f>E45</f>
        <v>122</v>
      </c>
      <c r="F48" s="135">
        <f>G48-E48-D48-C48</f>
        <v>114</v>
      </c>
      <c r="G48" s="55">
        <v>464</v>
      </c>
      <c r="H48" s="135">
        <v>160</v>
      </c>
      <c r="I48" s="135">
        <v>162</v>
      </c>
      <c r="J48" s="135">
        <v>166</v>
      </c>
      <c r="K48" s="135">
        <v>174</v>
      </c>
      <c r="L48" s="55">
        <v>662</v>
      </c>
      <c r="M48" s="135">
        <v>147</v>
      </c>
      <c r="N48" s="135">
        <v>151</v>
      </c>
      <c r="O48" s="135">
        <v>175</v>
      </c>
      <c r="P48" s="309">
        <v>473</v>
      </c>
      <c r="Q48" s="135">
        <v>143</v>
      </c>
      <c r="R48" s="55">
        <v>616</v>
      </c>
      <c r="S48" s="135">
        <v>138</v>
      </c>
      <c r="T48" s="135">
        <v>139</v>
      </c>
      <c r="U48" s="135">
        <v>120</v>
      </c>
      <c r="V48" s="309">
        <v>397</v>
      </c>
      <c r="W48" s="135">
        <v>136</v>
      </c>
      <c r="X48" s="55">
        <v>533</v>
      </c>
      <c r="Y48" s="135">
        <v>140</v>
      </c>
      <c r="Z48" s="135">
        <v>157</v>
      </c>
      <c r="AA48" s="135">
        <v>167</v>
      </c>
      <c r="AB48" s="309">
        <v>464</v>
      </c>
      <c r="AC48" s="135">
        <v>168</v>
      </c>
      <c r="AD48" s="55">
        <v>632</v>
      </c>
    </row>
    <row r="49" spans="1:30">
      <c r="A49" s="328" t="s">
        <v>24</v>
      </c>
      <c r="B49" s="322"/>
      <c r="C49" s="342"/>
      <c r="D49" s="342"/>
      <c r="E49" s="342"/>
      <c r="F49" s="342"/>
      <c r="G49" s="322"/>
      <c r="H49" s="342"/>
      <c r="I49" s="342"/>
      <c r="J49" s="342"/>
      <c r="K49" s="342"/>
      <c r="L49" s="322"/>
      <c r="M49" s="342"/>
      <c r="N49" s="342"/>
      <c r="O49" s="342"/>
      <c r="P49" s="342"/>
      <c r="Q49" s="342"/>
      <c r="R49" s="322"/>
      <c r="S49" s="342"/>
      <c r="T49" s="342"/>
      <c r="U49" s="342"/>
      <c r="V49" s="342"/>
      <c r="W49" s="342"/>
      <c r="X49" s="322"/>
      <c r="Y49" s="342"/>
      <c r="Z49" s="342"/>
      <c r="AA49" s="342"/>
      <c r="AB49" s="342"/>
      <c r="AC49" s="342"/>
      <c r="AD49" s="322"/>
    </row>
    <row r="50" spans="1:30">
      <c r="A50" s="60" t="s">
        <v>12</v>
      </c>
      <c r="B50" s="57">
        <v>582</v>
      </c>
      <c r="C50" s="61">
        <v>117</v>
      </c>
      <c r="D50" s="61">
        <v>193</v>
      </c>
      <c r="E50" s="61">
        <v>209</v>
      </c>
      <c r="F50" s="61">
        <f>G50-E50-D50-C50</f>
        <v>86</v>
      </c>
      <c r="G50" s="57">
        <v>605</v>
      </c>
      <c r="H50" s="61">
        <v>239</v>
      </c>
      <c r="I50" s="61">
        <v>181</v>
      </c>
      <c r="J50" s="61">
        <v>194</v>
      </c>
      <c r="K50" s="61">
        <v>156</v>
      </c>
      <c r="L50" s="57">
        <v>770</v>
      </c>
      <c r="M50" s="61">
        <v>195</v>
      </c>
      <c r="N50" s="61">
        <v>136</v>
      </c>
      <c r="O50" s="61">
        <v>200</v>
      </c>
      <c r="P50" s="309">
        <v>531</v>
      </c>
      <c r="Q50" s="61">
        <v>146</v>
      </c>
      <c r="R50" s="57">
        <v>677</v>
      </c>
      <c r="S50" s="61">
        <v>164</v>
      </c>
      <c r="T50" s="61">
        <v>149</v>
      </c>
      <c r="U50" s="61">
        <v>143</v>
      </c>
      <c r="V50" s="309">
        <v>456</v>
      </c>
      <c r="W50" s="61">
        <v>241</v>
      </c>
      <c r="X50" s="57">
        <v>697</v>
      </c>
      <c r="Y50" s="61">
        <v>72</v>
      </c>
      <c r="Z50" s="61">
        <v>149</v>
      </c>
      <c r="AA50" s="61">
        <v>185</v>
      </c>
      <c r="AB50" s="309">
        <v>406</v>
      </c>
      <c r="AC50" s="61">
        <v>19</v>
      </c>
      <c r="AD50" s="57">
        <v>425</v>
      </c>
    </row>
    <row r="51" spans="1:30">
      <c r="A51" s="72" t="s">
        <v>7</v>
      </c>
      <c r="B51" s="23"/>
      <c r="C51" s="63"/>
      <c r="D51" s="63">
        <f>D50/C50-1</f>
        <v>0.64957264957264949</v>
      </c>
      <c r="E51" s="63">
        <f>E50/D50-1</f>
        <v>8.290155440414515E-2</v>
      </c>
      <c r="F51" s="63">
        <f>F50/E50-1</f>
        <v>-0.58851674641148333</v>
      </c>
      <c r="G51" s="23"/>
      <c r="H51" s="63">
        <v>1.7790697674418605</v>
      </c>
      <c r="I51" s="63">
        <v>-0.24267782426778239</v>
      </c>
      <c r="J51" s="63">
        <v>7.182320441988943E-2</v>
      </c>
      <c r="K51" s="63">
        <v>-0.19587628865979378</v>
      </c>
      <c r="L51" s="23"/>
      <c r="M51" s="63">
        <v>0.25</v>
      </c>
      <c r="N51" s="63">
        <v>-0.3025641025641026</v>
      </c>
      <c r="O51" s="63">
        <v>0.47058823529411775</v>
      </c>
      <c r="P51" s="310"/>
      <c r="Q51" s="63">
        <v>-0.27</v>
      </c>
      <c r="R51" s="23"/>
      <c r="S51" s="63">
        <v>0.12328767123287676</v>
      </c>
      <c r="T51" s="63">
        <v>-9.1463414634146312E-2</v>
      </c>
      <c r="U51" s="63">
        <v>-4.0268456375838979E-2</v>
      </c>
      <c r="V51" s="310"/>
      <c r="W51" s="63">
        <v>0.68531468531468542</v>
      </c>
      <c r="X51" s="23"/>
      <c r="Y51" s="63">
        <v>-0.70124481327800825</v>
      </c>
      <c r="Z51" s="63">
        <v>1.0694444444444446</v>
      </c>
      <c r="AA51" s="63">
        <v>0.24161073825503365</v>
      </c>
      <c r="AB51" s="310"/>
      <c r="AC51" s="63">
        <v>-0.89729729729729724</v>
      </c>
      <c r="AD51" s="23"/>
    </row>
    <row r="52" spans="1:30">
      <c r="A52" s="72" t="s">
        <v>8</v>
      </c>
      <c r="B52" s="23"/>
      <c r="C52" s="64"/>
      <c r="D52" s="64"/>
      <c r="E52" s="64"/>
      <c r="F52" s="64"/>
      <c r="G52" s="23">
        <v>3.9518900343642693E-2</v>
      </c>
      <c r="H52" s="64">
        <v>1.0427350427350426</v>
      </c>
      <c r="I52" s="64">
        <v>-6.2176165803108807E-2</v>
      </c>
      <c r="J52" s="64">
        <v>-7.1770334928229707E-2</v>
      </c>
      <c r="K52" s="64">
        <v>0.81395348837209291</v>
      </c>
      <c r="L52" s="23">
        <v>0.27272727272727271</v>
      </c>
      <c r="M52" s="64">
        <v>-0.18410041841004188</v>
      </c>
      <c r="N52" s="64">
        <v>-0.24861878453038677</v>
      </c>
      <c r="O52" s="64">
        <v>3.0927835051546282E-2</v>
      </c>
      <c r="P52" s="311"/>
      <c r="Q52" s="64">
        <v>-6.4102564102564097E-2</v>
      </c>
      <c r="R52" s="23">
        <v>-0.12077922077922076</v>
      </c>
      <c r="S52" s="64">
        <v>-0.15897435897435896</v>
      </c>
      <c r="T52" s="64">
        <v>9.5588235294117752E-2</v>
      </c>
      <c r="U52" s="64">
        <v>-0.28500000000000003</v>
      </c>
      <c r="V52" s="311">
        <v>-0.14124293785310738</v>
      </c>
      <c r="W52" s="64">
        <v>0.65068493150684925</v>
      </c>
      <c r="X52" s="23">
        <v>2.9542097488921781E-2</v>
      </c>
      <c r="Y52" s="64">
        <v>-0.56097560975609762</v>
      </c>
      <c r="Z52" s="64">
        <v>0</v>
      </c>
      <c r="AA52" s="64">
        <v>0.29370629370629375</v>
      </c>
      <c r="AB52" s="311">
        <v>-0.10964912280701755</v>
      </c>
      <c r="AC52" s="64">
        <v>-0.92116182572614114</v>
      </c>
      <c r="AD52" s="23">
        <v>-0.3902439024390244</v>
      </c>
    </row>
    <row r="53" spans="1:30">
      <c r="A53" s="60" t="s">
        <v>300</v>
      </c>
      <c r="B53" s="85">
        <f>208+35</f>
        <v>243</v>
      </c>
      <c r="C53" s="61">
        <v>73</v>
      </c>
      <c r="D53" s="61">
        <f>48+11+23</f>
        <v>82</v>
      </c>
      <c r="E53" s="61">
        <v>78</v>
      </c>
      <c r="F53" s="61">
        <f>G53-E53-D53-C53</f>
        <v>77</v>
      </c>
      <c r="G53" s="85">
        <v>310</v>
      </c>
      <c r="H53" s="61">
        <v>69</v>
      </c>
      <c r="I53" s="61">
        <v>90</v>
      </c>
      <c r="J53" s="61">
        <v>73</v>
      </c>
      <c r="K53" s="61">
        <v>78</v>
      </c>
      <c r="L53" s="85">
        <v>310</v>
      </c>
      <c r="M53" s="61">
        <v>63</v>
      </c>
      <c r="N53" s="61">
        <v>83</v>
      </c>
      <c r="O53" s="61">
        <v>72</v>
      </c>
      <c r="P53" s="309">
        <v>218</v>
      </c>
      <c r="Q53" s="61">
        <v>75</v>
      </c>
      <c r="R53" s="85">
        <v>293</v>
      </c>
      <c r="S53" s="61">
        <v>65</v>
      </c>
      <c r="T53" s="61">
        <v>73</v>
      </c>
      <c r="U53" s="61">
        <v>100</v>
      </c>
      <c r="V53" s="309">
        <v>238</v>
      </c>
      <c r="W53" s="61">
        <v>81</v>
      </c>
      <c r="X53" s="85">
        <v>319</v>
      </c>
      <c r="Y53" s="61">
        <v>71</v>
      </c>
      <c r="Z53" s="61">
        <v>60</v>
      </c>
      <c r="AA53" s="61">
        <v>68</v>
      </c>
      <c r="AB53" s="309">
        <v>199</v>
      </c>
      <c r="AC53" s="61">
        <v>55</v>
      </c>
      <c r="AD53" s="85">
        <v>254</v>
      </c>
    </row>
    <row r="54" spans="1:30">
      <c r="A54" s="62" t="s">
        <v>7</v>
      </c>
      <c r="B54" s="23"/>
      <c r="C54" s="63"/>
      <c r="D54" s="63">
        <f>D53/C53-1</f>
        <v>0.12328767123287676</v>
      </c>
      <c r="E54" s="63">
        <f>E53/D53-1</f>
        <v>-4.8780487804878092E-2</v>
      </c>
      <c r="F54" s="63">
        <f>F53/E53-1</f>
        <v>-1.2820512820512775E-2</v>
      </c>
      <c r="G54" s="23"/>
      <c r="H54" s="63">
        <v>-0.10389610389610393</v>
      </c>
      <c r="I54" s="63">
        <v>0.30434782608695654</v>
      </c>
      <c r="J54" s="63">
        <v>-0.18888888888888888</v>
      </c>
      <c r="K54" s="63">
        <v>6.8493150684931559E-2</v>
      </c>
      <c r="L54" s="23"/>
      <c r="M54" s="63">
        <v>-0.19230769230769229</v>
      </c>
      <c r="N54" s="63">
        <v>0.31746031746031744</v>
      </c>
      <c r="O54" s="63">
        <v>-0.13253012048192769</v>
      </c>
      <c r="P54" s="310"/>
      <c r="Q54" s="63">
        <v>4.1666666666666741E-2</v>
      </c>
      <c r="R54" s="23"/>
      <c r="S54" s="63">
        <v>-0.1333333333333333</v>
      </c>
      <c r="T54" s="63">
        <v>0.12307692307692308</v>
      </c>
      <c r="U54" s="63">
        <v>0.36986301369863006</v>
      </c>
      <c r="V54" s="310"/>
      <c r="W54" s="63">
        <v>-0.18999999999999995</v>
      </c>
      <c r="X54" s="23"/>
      <c r="Y54" s="63">
        <v>-0.12345679012345678</v>
      </c>
      <c r="Z54" s="63">
        <v>-0.15492957746478875</v>
      </c>
      <c r="AA54" s="63">
        <v>0.1333333333333333</v>
      </c>
      <c r="AB54" s="310"/>
      <c r="AC54" s="63">
        <v>-0.19117647058823528</v>
      </c>
      <c r="AD54" s="23"/>
    </row>
    <row r="55" spans="1:30">
      <c r="A55" s="62" t="s">
        <v>8</v>
      </c>
      <c r="B55" s="23"/>
      <c r="C55" s="64"/>
      <c r="D55" s="64"/>
      <c r="E55" s="64"/>
      <c r="F55" s="64"/>
      <c r="G55" s="23">
        <v>0.27572016460905346</v>
      </c>
      <c r="H55" s="64">
        <v>-5.4794520547945202E-2</v>
      </c>
      <c r="I55" s="64">
        <v>9.7560975609756184E-2</v>
      </c>
      <c r="J55" s="64">
        <v>-6.4102564102564097E-2</v>
      </c>
      <c r="K55" s="64">
        <v>1.298701298701288E-2</v>
      </c>
      <c r="L55" s="23">
        <v>0</v>
      </c>
      <c r="M55" s="64">
        <v>-8.6956521739130488E-2</v>
      </c>
      <c r="N55" s="64">
        <v>-7.7777777777777724E-2</v>
      </c>
      <c r="O55" s="64">
        <v>-1.3698630136986356E-2</v>
      </c>
      <c r="P55" s="311"/>
      <c r="Q55" s="64">
        <v>-3.8461538461538436E-2</v>
      </c>
      <c r="R55" s="23">
        <v>-5.4838709677419328E-2</v>
      </c>
      <c r="S55" s="64">
        <v>3.1746031746031855E-2</v>
      </c>
      <c r="T55" s="64">
        <v>-0.12048192771084343</v>
      </c>
      <c r="U55" s="64">
        <v>0.38888888888888884</v>
      </c>
      <c r="V55" s="311">
        <v>9.174311926605494E-2</v>
      </c>
      <c r="W55" s="64">
        <v>8.0000000000000071E-2</v>
      </c>
      <c r="X55" s="23">
        <v>8.8737201365187701E-2</v>
      </c>
      <c r="Y55" s="64">
        <v>9.2307692307692202E-2</v>
      </c>
      <c r="Z55" s="64">
        <v>-0.17808219178082196</v>
      </c>
      <c r="AA55" s="64">
        <v>-0.31999999999999995</v>
      </c>
      <c r="AB55" s="311">
        <v>-0.16386554621848737</v>
      </c>
      <c r="AC55" s="64">
        <v>-0.32098765432098764</v>
      </c>
      <c r="AD55" s="23">
        <v>-0.20376175548589337</v>
      </c>
    </row>
    <row r="56" spans="1:30">
      <c r="A56" s="60" t="s">
        <v>301</v>
      </c>
      <c r="B56" s="85">
        <f>B53-2</f>
        <v>241</v>
      </c>
      <c r="C56" s="61">
        <f>C53</f>
        <v>73</v>
      </c>
      <c r="D56" s="61">
        <f>D53</f>
        <v>82</v>
      </c>
      <c r="E56" s="61">
        <f>E53</f>
        <v>78</v>
      </c>
      <c r="F56" s="61">
        <f>G56-E56-D56-C56</f>
        <v>76</v>
      </c>
      <c r="G56" s="85">
        <v>309</v>
      </c>
      <c r="H56" s="61">
        <v>69</v>
      </c>
      <c r="I56" s="61">
        <v>90</v>
      </c>
      <c r="J56" s="61">
        <v>69</v>
      </c>
      <c r="K56" s="61">
        <v>78</v>
      </c>
      <c r="L56" s="85">
        <v>306</v>
      </c>
      <c r="M56" s="61">
        <v>63</v>
      </c>
      <c r="N56" s="61">
        <v>82</v>
      </c>
      <c r="O56" s="61">
        <v>72</v>
      </c>
      <c r="P56" s="309">
        <v>217</v>
      </c>
      <c r="Q56" s="61">
        <v>75</v>
      </c>
      <c r="R56" s="85">
        <v>292</v>
      </c>
      <c r="S56" s="61">
        <v>65</v>
      </c>
      <c r="T56" s="61">
        <v>73</v>
      </c>
      <c r="U56" s="61">
        <v>100</v>
      </c>
      <c r="V56" s="309">
        <v>238</v>
      </c>
      <c r="W56" s="61">
        <v>80</v>
      </c>
      <c r="X56" s="85">
        <v>318</v>
      </c>
      <c r="Y56" s="61">
        <v>71</v>
      </c>
      <c r="Z56" s="61">
        <v>60</v>
      </c>
      <c r="AA56" s="61">
        <v>68</v>
      </c>
      <c r="AB56" s="309">
        <v>199</v>
      </c>
      <c r="AC56" s="61">
        <v>54</v>
      </c>
      <c r="AD56" s="85">
        <v>253</v>
      </c>
    </row>
    <row r="57" spans="1:30">
      <c r="A57" s="62" t="s">
        <v>7</v>
      </c>
      <c r="B57" s="23"/>
      <c r="C57" s="63"/>
      <c r="D57" s="63">
        <f>D56/C56-1</f>
        <v>0.12328767123287676</v>
      </c>
      <c r="E57" s="63">
        <f>E56/D56-1</f>
        <v>-4.8780487804878092E-2</v>
      </c>
      <c r="F57" s="63">
        <f>F56/E56-1</f>
        <v>-2.5641025641025661E-2</v>
      </c>
      <c r="G57" s="23"/>
      <c r="H57" s="63">
        <v>-9.210526315789469E-2</v>
      </c>
      <c r="I57" s="63">
        <v>0.30434782608695654</v>
      </c>
      <c r="J57" s="63">
        <v>-0.23333333333333328</v>
      </c>
      <c r="K57" s="63">
        <v>0.13043478260869557</v>
      </c>
      <c r="L57" s="23"/>
      <c r="M57" s="63">
        <v>-0.19230769230769229</v>
      </c>
      <c r="N57" s="63">
        <v>0.30158730158730163</v>
      </c>
      <c r="O57" s="63">
        <v>-0.12195121951219512</v>
      </c>
      <c r="P57" s="310"/>
      <c r="Q57" s="63">
        <v>4.1666666666666741E-2</v>
      </c>
      <c r="R57" s="23"/>
      <c r="S57" s="63">
        <v>-0.1333333333333333</v>
      </c>
      <c r="T57" s="63">
        <v>0.12307692307692308</v>
      </c>
      <c r="U57" s="63">
        <v>0.36986301369863006</v>
      </c>
      <c r="V57" s="310"/>
      <c r="W57" s="63">
        <v>-0.19999999999999996</v>
      </c>
      <c r="X57" s="23"/>
      <c r="Y57" s="63">
        <v>-0.11250000000000004</v>
      </c>
      <c r="Z57" s="63">
        <v>-0.15492957746478875</v>
      </c>
      <c r="AA57" s="63">
        <v>0.1333333333333333</v>
      </c>
      <c r="AB57" s="310"/>
      <c r="AC57" s="63">
        <v>-0.20588235294117652</v>
      </c>
      <c r="AD57" s="23"/>
    </row>
    <row r="58" spans="1:30">
      <c r="A58" s="62" t="s">
        <v>8</v>
      </c>
      <c r="B58" s="23"/>
      <c r="C58" s="64"/>
      <c r="D58" s="64"/>
      <c r="E58" s="64"/>
      <c r="F58" s="64"/>
      <c r="G58" s="23">
        <v>0.28215767634854783</v>
      </c>
      <c r="H58" s="64">
        <v>-5.4794520547945202E-2</v>
      </c>
      <c r="I58" s="64">
        <v>9.7560975609756184E-2</v>
      </c>
      <c r="J58" s="64">
        <v>-0.11538461538461542</v>
      </c>
      <c r="K58" s="64">
        <v>2.6315789473684292E-2</v>
      </c>
      <c r="L58" s="23">
        <v>-9.7087378640776656E-3</v>
      </c>
      <c r="M58" s="64">
        <v>-8.6956521739130488E-2</v>
      </c>
      <c r="N58" s="64">
        <v>-8.8888888888888906E-2</v>
      </c>
      <c r="O58" s="64">
        <v>4.3478260869565188E-2</v>
      </c>
      <c r="P58" s="311"/>
      <c r="Q58" s="64">
        <v>-3.8461538461538436E-2</v>
      </c>
      <c r="R58" s="23">
        <v>-4.5751633986928053E-2</v>
      </c>
      <c r="S58" s="64">
        <v>3.1746031746031855E-2</v>
      </c>
      <c r="T58" s="64">
        <v>-0.1097560975609756</v>
      </c>
      <c r="U58" s="64">
        <v>0.38888888888888884</v>
      </c>
      <c r="V58" s="311">
        <v>9.6774193548387011E-2</v>
      </c>
      <c r="W58" s="64">
        <v>6.6666666666666652E-2</v>
      </c>
      <c r="X58" s="23">
        <v>8.9041095890410871E-2</v>
      </c>
      <c r="Y58" s="64">
        <v>9.2307692307692202E-2</v>
      </c>
      <c r="Z58" s="64">
        <v>-0.17808219178082196</v>
      </c>
      <c r="AA58" s="64">
        <v>-0.31999999999999995</v>
      </c>
      <c r="AB58" s="311">
        <v>-0.16386554621848737</v>
      </c>
      <c r="AC58" s="64">
        <v>-0.32499999999999996</v>
      </c>
      <c r="AD58" s="23">
        <v>-0.20440251572327039</v>
      </c>
    </row>
    <row r="59" spans="1:30">
      <c r="A59" s="60" t="s">
        <v>198</v>
      </c>
      <c r="B59" s="55" t="s">
        <v>114</v>
      </c>
      <c r="C59" s="61">
        <v>0</v>
      </c>
      <c r="D59" s="61">
        <v>0</v>
      </c>
      <c r="E59" s="61">
        <v>0</v>
      </c>
      <c r="F59" s="61">
        <v>0</v>
      </c>
      <c r="G59" s="55" t="s">
        <v>114</v>
      </c>
      <c r="H59" s="61">
        <v>75</v>
      </c>
      <c r="I59" s="61">
        <v>50</v>
      </c>
      <c r="J59" s="61">
        <v>64</v>
      </c>
      <c r="K59" s="61">
        <v>70</v>
      </c>
      <c r="L59" s="85">
        <v>259</v>
      </c>
      <c r="M59" s="61">
        <v>69</v>
      </c>
      <c r="N59" s="61">
        <v>46</v>
      </c>
      <c r="O59" s="61">
        <v>76</v>
      </c>
      <c r="P59" s="309">
        <v>191</v>
      </c>
      <c r="Q59" s="61">
        <v>51</v>
      </c>
      <c r="R59" s="85">
        <v>242</v>
      </c>
      <c r="S59" s="61">
        <v>67</v>
      </c>
      <c r="T59" s="61">
        <v>48</v>
      </c>
      <c r="U59" s="61">
        <v>67</v>
      </c>
      <c r="V59" s="309">
        <v>182</v>
      </c>
      <c r="W59" s="61">
        <v>48</v>
      </c>
      <c r="X59" s="85">
        <v>230</v>
      </c>
      <c r="Y59" s="61">
        <v>60</v>
      </c>
      <c r="Z59" s="61">
        <v>53</v>
      </c>
      <c r="AA59" s="61">
        <v>52</v>
      </c>
      <c r="AB59" s="309">
        <v>165</v>
      </c>
      <c r="AC59" s="61">
        <v>54</v>
      </c>
      <c r="AD59" s="85">
        <v>219</v>
      </c>
    </row>
    <row r="60" spans="1:30" ht="8.25" customHeight="1">
      <c r="A60" s="60"/>
      <c r="B60" s="23"/>
      <c r="C60" s="64"/>
      <c r="D60" s="64"/>
      <c r="E60" s="64"/>
      <c r="F60" s="64"/>
      <c r="G60" s="23"/>
      <c r="H60" s="61"/>
      <c r="I60" s="61"/>
      <c r="J60" s="61"/>
      <c r="K60" s="61"/>
      <c r="L60" s="85"/>
      <c r="M60" s="61"/>
      <c r="N60" s="61"/>
      <c r="O60" s="61"/>
      <c r="P60" s="309"/>
      <c r="Q60" s="61"/>
      <c r="R60" s="85"/>
      <c r="S60" s="61"/>
      <c r="T60" s="61"/>
      <c r="U60" s="61"/>
      <c r="V60" s="309"/>
      <c r="W60" s="61"/>
      <c r="X60" s="85"/>
      <c r="Y60" s="61"/>
      <c r="Z60" s="61"/>
      <c r="AA60" s="61"/>
      <c r="AB60" s="309"/>
      <c r="AC60" s="61"/>
      <c r="AD60" s="85"/>
    </row>
    <row r="61" spans="1:30">
      <c r="A61" s="60" t="s">
        <v>393</v>
      </c>
      <c r="B61" s="85">
        <f>B50-B56</f>
        <v>341</v>
      </c>
      <c r="C61" s="67">
        <f>C50-C56</f>
        <v>44</v>
      </c>
      <c r="D61" s="67">
        <f>D50-D56</f>
        <v>111</v>
      </c>
      <c r="E61" s="67">
        <f>E50-E56</f>
        <v>131</v>
      </c>
      <c r="F61" s="61">
        <f>G61-E61-D61-C61</f>
        <v>10</v>
      </c>
      <c r="G61" s="85">
        <v>296</v>
      </c>
      <c r="H61" s="67">
        <v>95</v>
      </c>
      <c r="I61" s="67">
        <v>41</v>
      </c>
      <c r="J61" s="67">
        <v>61</v>
      </c>
      <c r="K61" s="61">
        <v>8</v>
      </c>
      <c r="L61" s="85">
        <v>205</v>
      </c>
      <c r="M61" s="67">
        <v>63</v>
      </c>
      <c r="N61" s="67">
        <v>8</v>
      </c>
      <c r="O61" s="67">
        <v>52</v>
      </c>
      <c r="P61" s="309">
        <v>123</v>
      </c>
      <c r="Q61" s="61">
        <v>20</v>
      </c>
      <c r="R61" s="85">
        <v>143</v>
      </c>
      <c r="S61" s="67">
        <v>32</v>
      </c>
      <c r="T61" s="67">
        <v>28</v>
      </c>
      <c r="U61" s="165">
        <v>-24</v>
      </c>
      <c r="V61" s="309">
        <v>36</v>
      </c>
      <c r="W61" s="61">
        <v>113</v>
      </c>
      <c r="X61" s="85">
        <v>149</v>
      </c>
      <c r="Y61" s="165">
        <v>-59</v>
      </c>
      <c r="Z61" s="67">
        <v>36</v>
      </c>
      <c r="AA61" s="165">
        <v>65</v>
      </c>
      <c r="AB61" s="309">
        <v>42</v>
      </c>
      <c r="AC61" s="165">
        <v>-89</v>
      </c>
      <c r="AD61" s="159">
        <v>-47</v>
      </c>
    </row>
    <row r="62" spans="1:30" ht="10.5" customHeight="1">
      <c r="A62" s="62" t="s">
        <v>7</v>
      </c>
      <c r="B62" s="23"/>
      <c r="C62" s="63"/>
      <c r="D62" s="63">
        <f>D61/C61-1</f>
        <v>1.5227272727272729</v>
      </c>
      <c r="E62" s="63">
        <f>E61/D61-1</f>
        <v>0.18018018018018012</v>
      </c>
      <c r="F62" s="63">
        <f>F61/E61-1</f>
        <v>-0.92366412213740456</v>
      </c>
      <c r="G62" s="23"/>
      <c r="H62" s="63">
        <v>8.5</v>
      </c>
      <c r="I62" s="63">
        <v>-0.56842105263157894</v>
      </c>
      <c r="J62" s="63">
        <v>0.48780487804878048</v>
      </c>
      <c r="K62" s="63">
        <v>-0.86885245901639341</v>
      </c>
      <c r="L62" s="23"/>
      <c r="M62" s="63">
        <v>6.875</v>
      </c>
      <c r="N62" s="63">
        <v>-0.87301587301587302</v>
      </c>
      <c r="O62" s="63">
        <v>5.5</v>
      </c>
      <c r="P62" s="310"/>
      <c r="Q62" s="63">
        <v>-0.61538461538461542</v>
      </c>
      <c r="R62" s="23"/>
      <c r="S62" s="63">
        <v>0.60000000000000009</v>
      </c>
      <c r="T62" s="63">
        <v>-0.125</v>
      </c>
      <c r="U62" s="75" t="s">
        <v>34</v>
      </c>
      <c r="V62" s="310"/>
      <c r="W62" s="75" t="s">
        <v>34</v>
      </c>
      <c r="X62" s="23"/>
      <c r="Y62" s="75" t="s">
        <v>34</v>
      </c>
      <c r="Z62" s="75" t="s">
        <v>34</v>
      </c>
      <c r="AA62" s="63">
        <v>0.80555555555555558</v>
      </c>
      <c r="AB62" s="310"/>
      <c r="AC62" s="75" t="s">
        <v>34</v>
      </c>
      <c r="AD62" s="23"/>
    </row>
    <row r="63" spans="1:30" ht="10.5" customHeight="1">
      <c r="A63" s="62" t="s">
        <v>8</v>
      </c>
      <c r="B63" s="23"/>
      <c r="C63" s="64"/>
      <c r="D63" s="64"/>
      <c r="E63" s="64"/>
      <c r="F63" s="64"/>
      <c r="G63" s="23">
        <v>-0.13196480938416422</v>
      </c>
      <c r="H63" s="64">
        <v>1.1590909090909092</v>
      </c>
      <c r="I63" s="64">
        <v>-0.63063063063063063</v>
      </c>
      <c r="J63" s="64">
        <v>-0.53435114503816794</v>
      </c>
      <c r="K63" s="64">
        <v>-0.19999999999999996</v>
      </c>
      <c r="L63" s="23">
        <v>-0.30743243243243246</v>
      </c>
      <c r="M63" s="64">
        <v>-0.33684210526315794</v>
      </c>
      <c r="N63" s="64">
        <v>-0.80487804878048785</v>
      </c>
      <c r="O63" s="64">
        <v>-0.14754098360655743</v>
      </c>
      <c r="P63" s="311"/>
      <c r="Q63" s="64">
        <v>1.5</v>
      </c>
      <c r="R63" s="23">
        <v>-0.30243902439024395</v>
      </c>
      <c r="S63" s="64">
        <v>-0.49206349206349209</v>
      </c>
      <c r="T63" s="64">
        <v>2.5</v>
      </c>
      <c r="U63" s="75" t="s">
        <v>34</v>
      </c>
      <c r="V63" s="311">
        <v>-0.70731707317073167</v>
      </c>
      <c r="W63" s="64">
        <v>4.6500000000000004</v>
      </c>
      <c r="X63" s="23">
        <v>4.195804195804187E-2</v>
      </c>
      <c r="Y63" s="75" t="s">
        <v>34</v>
      </c>
      <c r="Z63" s="64">
        <v>0.28571428571428581</v>
      </c>
      <c r="AA63" s="75" t="s">
        <v>34</v>
      </c>
      <c r="AB63" s="311">
        <v>0.16666666666666674</v>
      </c>
      <c r="AC63" s="75" t="s">
        <v>34</v>
      </c>
      <c r="AD63" s="82" t="s">
        <v>34</v>
      </c>
    </row>
    <row r="64" spans="1:30">
      <c r="A64" s="329" t="s">
        <v>19</v>
      </c>
      <c r="B64" s="328"/>
      <c r="C64" s="335"/>
      <c r="D64" s="335"/>
      <c r="E64" s="335"/>
      <c r="F64" s="335"/>
      <c r="G64" s="328"/>
      <c r="H64" s="335"/>
      <c r="I64" s="335"/>
      <c r="J64" s="335"/>
      <c r="K64" s="335"/>
      <c r="L64" s="328"/>
      <c r="M64" s="335"/>
      <c r="N64" s="335"/>
      <c r="O64" s="335"/>
      <c r="P64" s="335"/>
      <c r="Q64" s="335"/>
      <c r="R64" s="328"/>
      <c r="S64" s="335"/>
      <c r="T64" s="335"/>
      <c r="U64" s="335"/>
      <c r="V64" s="335"/>
      <c r="W64" s="335"/>
      <c r="X64" s="328"/>
      <c r="Y64" s="335"/>
      <c r="Z64" s="335"/>
      <c r="AA64" s="335"/>
      <c r="AB64" s="335"/>
      <c r="AC64" s="335"/>
      <c r="AD64" s="328"/>
    </row>
    <row r="65" spans="1:30">
      <c r="A65" s="60" t="s">
        <v>31</v>
      </c>
      <c r="B65" s="48">
        <f t="shared" ref="B65:F65" si="0">B39/B8</f>
        <v>2.3193916349809884E-2</v>
      </c>
      <c r="C65" s="68">
        <f t="shared" si="0"/>
        <v>2.5477707006369428E-2</v>
      </c>
      <c r="D65" s="68">
        <f t="shared" si="0"/>
        <v>5.3797468354430382E-2</v>
      </c>
      <c r="E65" s="68">
        <f t="shared" si="0"/>
        <v>3.7795275590551181E-2</v>
      </c>
      <c r="F65" s="68">
        <f t="shared" si="0"/>
        <v>3.2258064516129031E-2</v>
      </c>
      <c r="G65" s="48">
        <v>3.7313432835820892E-2</v>
      </c>
      <c r="H65" s="68">
        <v>1.4539579967689823E-2</v>
      </c>
      <c r="I65" s="68">
        <v>1.1627906976744186E-2</v>
      </c>
      <c r="J65" s="68">
        <v>9.9337748344370865E-3</v>
      </c>
      <c r="K65" s="68">
        <v>3.2362459546925568E-3</v>
      </c>
      <c r="L65" s="48">
        <v>9.8239869013507976E-3</v>
      </c>
      <c r="M65" s="68">
        <v>3.4602076124567475E-3</v>
      </c>
      <c r="N65" s="68">
        <v>3.5087719298245615E-3</v>
      </c>
      <c r="O65" s="68">
        <v>2.9411764705882353E-2</v>
      </c>
      <c r="P65" s="318">
        <v>1.2500000000000001E-2</v>
      </c>
      <c r="Q65" s="68">
        <v>-0.11461794019933555</v>
      </c>
      <c r="R65" s="48">
        <v>-1.9898391193903471E-2</v>
      </c>
      <c r="S65" s="68">
        <v>-3.4904013961605585E-3</v>
      </c>
      <c r="T65" s="68">
        <v>1.869158878504673E-3</v>
      </c>
      <c r="U65" s="68">
        <v>-2.2018348623853212E-2</v>
      </c>
      <c r="V65" s="318">
        <v>-7.8644888082274652E-3</v>
      </c>
      <c r="W65" s="68">
        <v>-2.2514071294559099E-2</v>
      </c>
      <c r="X65" s="48">
        <v>-1.1436413540713633E-2</v>
      </c>
      <c r="Y65" s="68">
        <v>1.4035087719298246E-2</v>
      </c>
      <c r="Z65" s="68">
        <v>3.4722222222222224E-2</v>
      </c>
      <c r="AA65" s="68">
        <v>4.2513863216266171E-2</v>
      </c>
      <c r="AB65" s="318">
        <v>3.023117960877297E-2</v>
      </c>
      <c r="AC65" s="68">
        <v>2.1594684385382059E-2</v>
      </c>
      <c r="AD65" s="48">
        <v>2.7959807776321538E-2</v>
      </c>
    </row>
    <row r="66" spans="1:30">
      <c r="A66" s="60" t="s">
        <v>10</v>
      </c>
      <c r="B66" s="48">
        <f t="shared" ref="B66:F66" si="1">B45/B8</f>
        <v>0.15665399239543726</v>
      </c>
      <c r="C66" s="68">
        <f t="shared" si="1"/>
        <v>0.15764331210191082</v>
      </c>
      <c r="D66" s="68">
        <f t="shared" si="1"/>
        <v>0.20411392405063292</v>
      </c>
      <c r="E66" s="68">
        <f t="shared" si="1"/>
        <v>0.1921259842519685</v>
      </c>
      <c r="F66" s="68">
        <f t="shared" si="1"/>
        <v>0.16129032258064516</v>
      </c>
      <c r="G66" s="48">
        <v>0.17871170463472114</v>
      </c>
      <c r="H66" s="68">
        <v>0.25848142164781907</v>
      </c>
      <c r="I66" s="68">
        <v>0.26800000000000002</v>
      </c>
      <c r="J66" s="68">
        <v>0.26400000000000001</v>
      </c>
      <c r="K66" s="68">
        <v>0.27993527508090615</v>
      </c>
      <c r="L66" s="48">
        <v>0.26800000000000002</v>
      </c>
      <c r="M66" s="68">
        <v>0.25432525951557095</v>
      </c>
      <c r="N66" s="68">
        <v>0.25900000000000001</v>
      </c>
      <c r="O66" s="68">
        <v>0.2826797385620915</v>
      </c>
      <c r="P66" s="318">
        <v>0.26590909090909093</v>
      </c>
      <c r="Q66" s="68">
        <v>0.10963455149501661</v>
      </c>
      <c r="R66" s="48">
        <v>0.22607959356477561</v>
      </c>
      <c r="S66" s="68">
        <v>0.23909249563699825</v>
      </c>
      <c r="T66" s="68">
        <v>0.26728971962616821</v>
      </c>
      <c r="U66" s="68">
        <v>0.22018348623853212</v>
      </c>
      <c r="V66" s="318">
        <v>0.24198427102238354</v>
      </c>
      <c r="W66" s="68">
        <v>0.21575984990619138</v>
      </c>
      <c r="X66" s="48">
        <v>0.23559011893870083</v>
      </c>
      <c r="Y66" s="68">
        <v>0.24385964912280703</v>
      </c>
      <c r="Z66" s="68">
        <v>0.27604166666666669</v>
      </c>
      <c r="AA66" s="68">
        <v>0.30683918669131238</v>
      </c>
      <c r="AB66" s="318">
        <v>0.27504445761707175</v>
      </c>
      <c r="AC66" s="68">
        <v>0.25747508305647843</v>
      </c>
      <c r="AD66" s="48">
        <v>0.27042376583660988</v>
      </c>
    </row>
    <row r="67" spans="1:30">
      <c r="A67" s="60" t="s">
        <v>18</v>
      </c>
      <c r="B67" s="48">
        <f t="shared" ref="B67:F67" si="2">B53/B8</f>
        <v>9.2395437262357411E-2</v>
      </c>
      <c r="C67" s="68">
        <f t="shared" si="2"/>
        <v>0.11624203821656051</v>
      </c>
      <c r="D67" s="68">
        <f t="shared" si="2"/>
        <v>0.12974683544303797</v>
      </c>
      <c r="E67" s="68">
        <f t="shared" si="2"/>
        <v>0.12283464566929134</v>
      </c>
      <c r="F67" s="68">
        <f t="shared" si="2"/>
        <v>0.11827956989247312</v>
      </c>
      <c r="G67" s="48">
        <v>0.12175962293794187</v>
      </c>
      <c r="H67" s="68">
        <v>0.11147011308562198</v>
      </c>
      <c r="I67" s="68">
        <v>0.14950166112956811</v>
      </c>
      <c r="J67" s="68">
        <v>0.12086092715231789</v>
      </c>
      <c r="K67" s="68">
        <v>0.12621359223300971</v>
      </c>
      <c r="L67" s="48">
        <v>0.12689316414244781</v>
      </c>
      <c r="M67" s="68">
        <v>0.10899653979238755</v>
      </c>
      <c r="N67" s="68">
        <v>0.14561403508771931</v>
      </c>
      <c r="O67" s="68">
        <v>0.11764705882352941</v>
      </c>
      <c r="P67" s="318">
        <v>0.12386363636363637</v>
      </c>
      <c r="Q67" s="68">
        <v>0.12458471760797342</v>
      </c>
      <c r="R67" s="48">
        <v>0.12404741744284505</v>
      </c>
      <c r="S67" s="68">
        <v>0.11343804537521815</v>
      </c>
      <c r="T67" s="68">
        <v>0.13644859813084112</v>
      </c>
      <c r="U67" s="68">
        <v>0.1834862385321101</v>
      </c>
      <c r="V67" s="318">
        <v>0.14398064125831822</v>
      </c>
      <c r="W67" s="68">
        <v>0.15196998123827393</v>
      </c>
      <c r="X67" s="48">
        <v>0.14592863677950596</v>
      </c>
      <c r="Y67" s="68">
        <v>0.12456140350877193</v>
      </c>
      <c r="Z67" s="68">
        <v>0.10416666666666667</v>
      </c>
      <c r="AA67" s="68">
        <v>0.1256931608133087</v>
      </c>
      <c r="AB67" s="318">
        <v>0.11796087729697688</v>
      </c>
      <c r="AC67" s="68">
        <v>9.1362126245847178E-2</v>
      </c>
      <c r="AD67" s="48">
        <v>0.11096548711227611</v>
      </c>
    </row>
    <row r="68" spans="1:30" ht="5.2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2022-03-22T15:35:26Z</cp:lastPrinted>
  <dcterms:created xsi:type="dcterms:W3CDTF">1999-09-09T08:56:33Z</dcterms:created>
  <dcterms:modified xsi:type="dcterms:W3CDTF">2022-03-22T16:05:59Z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